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Characteristics!$A$1:$O$1907</definedName>
    <definedName name="_xlnm._FilterDatabase" localSheetId="1" hidden="1">Performance!$A$1:$I$1907</definedName>
  </definedNames>
  <calcPr calcId="124519" fullCalcOnLoad="1"/>
</workbook>
</file>

<file path=xl/sharedStrings.xml><?xml version="1.0" encoding="utf-8"?>
<sst xmlns="http://schemas.openxmlformats.org/spreadsheetml/2006/main" count="6861" uniqueCount="1942">
  <si>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</si>
  <si>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</si>
  <si>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</si>
  <si>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</si>
  <si>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</si>
  <si>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</si>
  <si>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</si>
  <si>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</si>
  <si>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</si>
  <si>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</si>
  <si>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</si>
  <si>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</si>
  <si>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</si>
  <si>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</si>
  <si>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AMKR</t>
  </si>
  <si>
    <t>AMLX</t>
  </si>
  <si>
    <t>AMN</t>
  </si>
  <si>
    <t>AMNB</t>
  </si>
  <si>
    <t>AMOT</t>
  </si>
  <si>
    <t>AMPE</t>
  </si>
  <si>
    <t>AMPH</t>
  </si>
  <si>
    <t>AMRC</t>
  </si>
  <si>
    <t>AMRK</t>
  </si>
  <si>
    <t>AMRS</t>
  </si>
  <si>
    <t>AMRX</t>
  </si>
  <si>
    <t>AMSC</t>
  </si>
  <si>
    <t>AMSF</t>
  </si>
  <si>
    <t>AMSWA</t>
  </si>
  <si>
    <t>AMTB</t>
  </si>
  <si>
    <t>AMTI</t>
  </si>
  <si>
    <t>AMTX</t>
  </si>
  <si>
    <t>AMWD</t>
  </si>
  <si>
    <t>AMWL</t>
  </si>
  <si>
    <t>ANAB</t>
  </si>
  <si>
    <t>ANAT</t>
  </si>
  <si>
    <t>ANDE</t>
  </si>
  <si>
    <t>ANF</t>
  </si>
  <si>
    <t>ANGN</t>
  </si>
  <si>
    <t>ANGO</t>
  </si>
  <si>
    <t>ANIK</t>
  </si>
  <si>
    <t>ANIP</t>
  </si>
  <si>
    <t>ANNX</t>
  </si>
  <si>
    <t>AOMR</t>
  </si>
  <si>
    <t>AORT</t>
  </si>
  <si>
    <t>AOSL</t>
  </si>
  <si>
    <t>AOUT</t>
  </si>
  <si>
    <t>APAM</t>
  </si>
  <si>
    <t>APEI</t>
  </si>
  <si>
    <t>APG</t>
  </si>
  <si>
    <t>APLE</t>
  </si>
  <si>
    <t>APLS</t>
  </si>
  <si>
    <t>APLT</t>
  </si>
  <si>
    <t>APOG</t>
  </si>
  <si>
    <t>APPF</t>
  </si>
  <si>
    <t>APPH</t>
  </si>
  <si>
    <t>APPN</t>
  </si>
  <si>
    <t>APPS</t>
  </si>
  <si>
    <t>APTS</t>
  </si>
  <si>
    <t>APYX</t>
  </si>
  <si>
    <t>AQB</t>
  </si>
  <si>
    <t>AQUA</t>
  </si>
  <si>
    <t>AR</t>
  </si>
  <si>
    <t>ARAY</t>
  </si>
  <si>
    <t>ARCB</t>
  </si>
  <si>
    <t>ARCH</t>
  </si>
  <si>
    <t>ARCT</t>
  </si>
  <si>
    <t>ARDX</t>
  </si>
  <si>
    <t>ARGO</t>
  </si>
  <si>
    <t>ARI</t>
  </si>
  <si>
    <t>ARIS</t>
  </si>
  <si>
    <t>ARKO</t>
  </si>
  <si>
    <t>ARLO</t>
  </si>
  <si>
    <t>ARNC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</si>
  <si>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</si>
  <si>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</si>
  <si>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</si>
  <si>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</si>
  <si>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</si>
  <si>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</si>
  <si>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</si>
  <si>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</si>
  <si>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</si>
  <si>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</si>
  <si>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ASGN</t>
  </si>
  <si>
    <t>ASIX</t>
  </si>
  <si>
    <t>ASLE</t>
  </si>
  <si>
    <t>ASO</t>
  </si>
  <si>
    <t>ASPN</t>
  </si>
  <si>
    <t>ASTE</t>
  </si>
  <si>
    <t>ASXC</t>
  </si>
  <si>
    <t>ATCX</t>
  </si>
  <si>
    <t>ATEC</t>
  </si>
  <si>
    <t>ATEN</t>
  </si>
  <si>
    <t>ATER</t>
  </si>
  <si>
    <t>ATEX</t>
  </si>
  <si>
    <t>ATGE</t>
  </si>
  <si>
    <t>ATHA</t>
  </si>
  <si>
    <t>ATHX</t>
  </si>
  <si>
    <t>ATI</t>
  </si>
  <si>
    <t>ATKR</t>
  </si>
  <si>
    <t>ATLC</t>
  </si>
  <si>
    <t>ATNI</t>
  </si>
  <si>
    <t>ATNX</t>
  </si>
  <si>
    <t>ATOM</t>
  </si>
  <si>
    <t>ATOS</t>
  </si>
  <si>
    <t>ATRA</t>
  </si>
  <si>
    <t>ATRC</t>
  </si>
  <si>
    <t>ATRI</t>
  </si>
  <si>
    <t>ATRO</t>
  </si>
  <si>
    <t>ATRS</t>
  </si>
  <si>
    <t>ATSG</t>
  </si>
  <si>
    <t>AUB</t>
  </si>
  <si>
    <t>AUD</t>
  </si>
  <si>
    <t>AURA</t>
  </si>
  <si>
    <t>AVA</t>
  </si>
  <si>
    <t>AVAH</t>
  </si>
  <si>
    <t>AVAV</t>
  </si>
  <si>
    <t>AVD</t>
  </si>
  <si>
    <t>AVDX</t>
  </si>
  <si>
    <t>AVID</t>
  </si>
  <si>
    <t>AVIR</t>
  </si>
  <si>
    <t>AVNS</t>
  </si>
  <si>
    <t>AVNT</t>
  </si>
  <si>
    <t>AVNW</t>
  </si>
  <si>
    <t>AVO</t>
  </si>
  <si>
    <t>AVRO</t>
  </si>
  <si>
    <t>AVTE</t>
  </si>
  <si>
    <t>AVTX</t>
  </si>
  <si>
    <t>AVXL</t>
  </si>
  <si>
    <t>AVYA</t>
  </si>
  <si>
    <t>AWH</t>
  </si>
  <si>
    <t>AWR</t>
  </si>
  <si>
    <t>AX</t>
  </si>
  <si>
    <t>AXDX</t>
  </si>
  <si>
    <t>AXGN</t>
  </si>
  <si>
    <t>AXL</t>
  </si>
  <si>
    <t>AXNX</t>
  </si>
  <si>
    <t>AXSM</t>
  </si>
  <si>
    <t>AXTI</t>
  </si>
  <si>
    <t>AZZ</t>
  </si>
  <si>
    <t>B</t>
  </si>
  <si>
    <t>BALY</t>
  </si>
  <si>
    <t>BANC</t>
  </si>
  <si>
    <t>BAND</t>
  </si>
  <si>
    <t>BANF</t>
  </si>
  <si>
    <t>BANR</t>
  </si>
  <si>
    <t>BASE</t>
  </si>
  <si>
    <t>BATRA</t>
  </si>
  <si>
    <t>BATRK</t>
  </si>
  <si>
    <t>BBBY</t>
  </si>
  <si>
    <t>BBCP</t>
  </si>
  <si>
    <t>BBIO</t>
  </si>
  <si>
    <t>BBSI</t>
  </si>
  <si>
    <t>BCAB</t>
  </si>
  <si>
    <t>BCC</t>
  </si>
  <si>
    <t>BCEL</t>
  </si>
  <si>
    <t>BCO</t>
  </si>
  <si>
    <t>BCOR</t>
  </si>
  <si>
    <t>BCOV</t>
  </si>
  <si>
    <t>BCPC</t>
  </si>
  <si>
    <t>BCRX</t>
  </si>
  <si>
    <t>BDC</t>
  </si>
  <si>
    <t>BDN</t>
  </si>
  <si>
    <t>BDSX</t>
  </si>
  <si>
    <t>BDTX</t>
  </si>
  <si>
    <t>BE</t>
  </si>
  <si>
    <t>BEAM</t>
  </si>
  <si>
    <t>BECN</t>
  </si>
  <si>
    <t>BEEM</t>
  </si>
  <si>
    <t>BFC</t>
  </si>
  <si>
    <t>BFLY</t>
  </si>
  <si>
    <t>BFS</t>
  </si>
  <si>
    <t>BFST</t>
  </si>
  <si>
    <t>BGCP</t>
  </si>
  <si>
    <t>BGFV</t>
  </si>
  <si>
    <t>BGS</t>
  </si>
  <si>
    <t>BH</t>
  </si>
  <si>
    <t>BHB</t>
  </si>
  <si>
    <t>BHE</t>
  </si>
  <si>
    <t>BHG</t>
  </si>
  <si>
    <t>BHLB</t>
  </si>
  <si>
    <t>BHR</t>
  </si>
  <si>
    <t>BHVN</t>
  </si>
  <si>
    <t>BIG</t>
  </si>
  <si>
    <t>BIGC</t>
  </si>
  <si>
    <t>BIPC</t>
  </si>
  <si>
    <t>BJ</t>
  </si>
  <si>
    <t>BJRI</t>
  </si>
  <si>
    <t>BKD</t>
  </si>
  <si>
    <t>BKE</t>
  </si>
  <si>
    <t>BKH</t>
  </si>
  <si>
    <t>BKU</t>
  </si>
  <si>
    <t>BL</t>
  </si>
  <si>
    <t>BLBD</t>
  </si>
  <si>
    <t>BLFS</t>
  </si>
  <si>
    <t>BLFY</t>
  </si>
  <si>
    <t>BLI</t>
  </si>
  <si>
    <t>BLKB</t>
  </si>
  <si>
    <t>BLMN</t>
  </si>
  <si>
    <t>BLNK</t>
  </si>
  <si>
    <t>BLUE</t>
  </si>
  <si>
    <t>BLX</t>
  </si>
  <si>
    <t>BMEA</t>
  </si>
  <si>
    <t>BMI</t>
  </si>
  <si>
    <t>BMRC</t>
  </si>
  <si>
    <t>BNED</t>
  </si>
  <si>
    <t>BNFT</t>
  </si>
  <si>
    <t>BNGO</t>
  </si>
  <si>
    <t>BNL</t>
  </si>
  <si>
    <t>BOC</t>
  </si>
  <si>
    <t>BOLT</t>
  </si>
  <si>
    <t>BOOM</t>
  </si>
  <si>
    <t>BOOT</t>
  </si>
  <si>
    <t>BOX</t>
  </si>
  <si>
    <t>BPMC</t>
  </si>
  <si>
    <t>BRBR</t>
  </si>
  <si>
    <t>BRBS</t>
  </si>
  <si>
    <t>BRC</t>
  </si>
  <si>
    <t>BRKL</t>
  </si>
  <si>
    <t>BRMK</t>
  </si>
  <si>
    <t>BRP</t>
  </si>
  <si>
    <t>BRSP</t>
  </si>
  <si>
    <t>BRT</t>
  </si>
  <si>
    <t>BRY</t>
  </si>
  <si>
    <t>BSET</t>
  </si>
  <si>
    <t>BSIG</t>
  </si>
  <si>
    <t>BSRR</t>
  </si>
  <si>
    <t>BTAI</t>
  </si>
  <si>
    <t>BTRS</t>
  </si>
  <si>
    <t>BTU</t>
  </si>
  <si>
    <t>BTX</t>
  </si>
  <si>
    <t>BUSE</t>
  </si>
  <si>
    <t>BV</t>
  </si>
  <si>
    <t>BVH</t>
  </si>
  <si>
    <t>BVS</t>
  </si>
  <si>
    <t>BW</t>
  </si>
  <si>
    <t>BWB</t>
  </si>
  <si>
    <t>BXC</t>
  </si>
  <si>
    <t>BXMT</t>
  </si>
  <si>
    <t>BY</t>
  </si>
  <si>
    <t>BYRN</t>
  </si>
  <si>
    <t>BYSI</t>
  </si>
  <si>
    <t>BZH</t>
  </si>
  <si>
    <t>CAC</t>
  </si>
  <si>
    <t>CADE</t>
  </si>
  <si>
    <t>CAKE</t>
  </si>
  <si>
    <t>CAL</t>
  </si>
  <si>
    <t>CALM</t>
  </si>
  <si>
    <t>CALX</t>
  </si>
  <si>
    <t>CAMP</t>
  </si>
  <si>
    <t>CAR</t>
  </si>
  <si>
    <t>CARA</t>
  </si>
  <si>
    <t>CARE</t>
  </si>
  <si>
    <t>CARG</t>
  </si>
  <si>
    <t>CARS</t>
  </si>
  <si>
    <t>CASA</t>
  </si>
  <si>
    <t>CASH</t>
  </si>
  <si>
    <t>CASS</t>
  </si>
  <si>
    <t>CATC</t>
  </si>
  <si>
    <t>CATO</t>
  </si>
  <si>
    <t>CATY</t>
  </si>
  <si>
    <t>CBAY</t>
  </si>
  <si>
    <t>CBNK</t>
  </si>
  <si>
    <t>CBRL</t>
  </si>
  <si>
    <t>CBT</t>
  </si>
  <si>
    <t>CBTX</t>
  </si>
  <si>
    <t>CBU</t>
  </si>
  <si>
    <t>CBZ</t>
  </si>
  <si>
    <t>CCB</t>
  </si>
  <si>
    <t>CCBG</t>
  </si>
  <si>
    <t>CCCC</t>
  </si>
  <si>
    <t>CCF</t>
  </si>
  <si>
    <t>CCMP</t>
  </si>
  <si>
    <t>CCNE</t>
  </si>
  <si>
    <t>CCO</t>
  </si>
  <si>
    <t>CCOI</t>
  </si>
  <si>
    <t>CCRD</t>
  </si>
  <si>
    <t>CCRN</t>
  </si>
  <si>
    <t>CCS</t>
  </si>
  <si>
    <t>CCSI</t>
  </si>
  <si>
    <t>CCXI</t>
  </si>
  <si>
    <t>CDAK</t>
  </si>
  <si>
    <t>CDE</t>
  </si>
  <si>
    <t>CDEV</t>
  </si>
  <si>
    <t>CDLX</t>
  </si>
  <si>
    <t>CDMO</t>
  </si>
  <si>
    <t>CDNA</t>
  </si>
  <si>
    <t>CDRE</t>
  </si>
  <si>
    <t>CDXC</t>
  </si>
  <si>
    <t>CDXS</t>
  </si>
  <si>
    <t>CDZI</t>
  </si>
  <si>
    <t>CECE</t>
  </si>
  <si>
    <t>CEIX</t>
  </si>
  <si>
    <t>CELC</t>
  </si>
  <si>
    <t>CELH</t>
  </si>
  <si>
    <t>CENT</t>
  </si>
  <si>
    <t>CENTA</t>
  </si>
  <si>
    <t>CENX</t>
  </si>
  <si>
    <t>CERE</t>
  </si>
  <si>
    <t>CERS</t>
  </si>
  <si>
    <t>CEVA</t>
  </si>
  <si>
    <t>CFB</t>
  </si>
  <si>
    <t>CFFN</t>
  </si>
  <si>
    <t>CGEM</t>
  </si>
  <si>
    <t>CHCO</t>
  </si>
  <si>
    <t>CHCT</t>
  </si>
  <si>
    <t>CHEF</t>
  </si>
  <si>
    <t>CHK</t>
  </si>
  <si>
    <t>CHRS</t>
  </si>
  <si>
    <t>CHS</t>
  </si>
  <si>
    <t>CHUY</t>
  </si>
  <si>
    <t>CHX</t>
  </si>
  <si>
    <t>CIA</t>
  </si>
  <si>
    <t>CIM</t>
  </si>
  <si>
    <t>CINC</t>
  </si>
  <si>
    <t>CIO</t>
  </si>
  <si>
    <t>CIR</t>
  </si>
  <si>
    <t>CIVB</t>
  </si>
  <si>
    <t>CIVI</t>
  </si>
  <si>
    <t>CIX</t>
  </si>
  <si>
    <t>CLAR</t>
  </si>
  <si>
    <t>CLBK</t>
  </si>
  <si>
    <t>CLDT</t>
  </si>
  <si>
    <t>CLDX</t>
  </si>
  <si>
    <t>CLFD</t>
  </si>
  <si>
    <t>CLNE</t>
  </si>
  <si>
    <t>CLNN</t>
  </si>
  <si>
    <t>CLPR</t>
  </si>
  <si>
    <t>CLPT</t>
  </si>
  <si>
    <t>CLSK</t>
  </si>
  <si>
    <t>CLVS</t>
  </si>
  <si>
    <t>CLW</t>
  </si>
  <si>
    <t>CMBM</t>
  </si>
  <si>
    <t>CMC</t>
  </si>
  <si>
    <t>CMCO</t>
  </si>
  <si>
    <t>CMP</t>
  </si>
  <si>
    <t>CMPR</t>
  </si>
  <si>
    <t>CMRE</t>
  </si>
  <si>
    <t>CMRX</t>
  </si>
  <si>
    <t>CMTL</t>
  </si>
  <si>
    <t>CNDT</t>
  </si>
  <si>
    <t>CNK</t>
  </si>
  <si>
    <t>CNMD</t>
  </si>
  <si>
    <t>CNNE</t>
  </si>
  <si>
    <t>CNO</t>
  </si>
  <si>
    <t>CNOB</t>
  </si>
  <si>
    <t>CNR</t>
  </si>
  <si>
    <t>CNS</t>
  </si>
  <si>
    <t>CNSL</t>
  </si>
  <si>
    <t>CNTY</t>
  </si>
  <si>
    <t>CNVY</t>
  </si>
  <si>
    <t>CNX</t>
  </si>
  <si>
    <t>CNXN</t>
  </si>
  <si>
    <t>COCO</t>
  </si>
  <si>
    <t>COGT</t>
  </si>
  <si>
    <t>COHU</t>
  </si>
  <si>
    <t>COKE</t>
  </si>
  <si>
    <t>COLB</t>
  </si>
  <si>
    <t>COLL</t>
  </si>
  <si>
    <t>CONN</t>
  </si>
  <si>
    <t>COOK</t>
  </si>
  <si>
    <t>COOP</t>
  </si>
  <si>
    <t>CORT</t>
  </si>
  <si>
    <t>COUR</t>
  </si>
  <si>
    <t>COWN</t>
  </si>
  <si>
    <t>CPE</t>
  </si>
  <si>
    <t>CPF</t>
  </si>
  <si>
    <t>CPK</t>
  </si>
  <si>
    <t>CPRX</t>
  </si>
  <si>
    <t>CPS</t>
  </si>
  <si>
    <t>CPSI</t>
  </si>
  <si>
    <t>CRAI</t>
  </si>
  <si>
    <t>CRBU</t>
  </si>
  <si>
    <t>CRC</t>
  </si>
  <si>
    <t>CRDA</t>
  </si>
  <si>
    <t>CRDF</t>
  </si>
  <si>
    <t>CRDO</t>
  </si>
  <si>
    <t>CRGY</t>
  </si>
  <si>
    <t>CRIS</t>
  </si>
  <si>
    <t>CRK</t>
  </si>
  <si>
    <t>CRMD</t>
  </si>
  <si>
    <t>CRMT</t>
  </si>
  <si>
    <t>CRNC</t>
  </si>
  <si>
    <t>CRNX</t>
  </si>
  <si>
    <t>CROX</t>
  </si>
  <si>
    <t>CRS</t>
  </si>
  <si>
    <t>CRSR</t>
  </si>
  <si>
    <t>CRTX</t>
  </si>
  <si>
    <t>CRVL</t>
  </si>
  <si>
    <t>CSGS</t>
  </si>
  <si>
    <t>CSII</t>
  </si>
  <si>
    <t>CSR</t>
  </si>
  <si>
    <t>CSSE</t>
  </si>
  <si>
    <t>CSTE</t>
  </si>
  <si>
    <t>CSTL</t>
  </si>
  <si>
    <t>CSTM</t>
  </si>
  <si>
    <t>CSTR</t>
  </si>
  <si>
    <t>CSV</t>
  </si>
  <si>
    <t>CSWI</t>
  </si>
  <si>
    <t>CTBI</t>
  </si>
  <si>
    <t>CTKB</t>
  </si>
  <si>
    <t>CTLP</t>
  </si>
  <si>
    <t>CTMX</t>
  </si>
  <si>
    <t>CTO</t>
  </si>
  <si>
    <t>CTOS</t>
  </si>
  <si>
    <t>CTRE</t>
  </si>
  <si>
    <t>CTRN</t>
  </si>
  <si>
    <t>CTS</t>
  </si>
  <si>
    <t>CTSO</t>
  </si>
  <si>
    <t>CTT</t>
  </si>
  <si>
    <t>CTXR</t>
  </si>
  <si>
    <t>CUBI</t>
  </si>
  <si>
    <t>CUE</t>
  </si>
  <si>
    <t>CURI</t>
  </si>
  <si>
    <t>CURO</t>
  </si>
  <si>
    <t>CURV</t>
  </si>
  <si>
    <t>CUTR</t>
  </si>
  <si>
    <t>CVBF</t>
  </si>
  <si>
    <t>CVCO</t>
  </si>
  <si>
    <t>CVET</t>
  </si>
  <si>
    <t>CVGI</t>
  </si>
  <si>
    <t>CVGW</t>
  </si>
  <si>
    <t>CVI</t>
  </si>
  <si>
    <t>CVLG</t>
  </si>
  <si>
    <t>CVLT</t>
  </si>
  <si>
    <t>CVM</t>
  </si>
  <si>
    <t>CVRX</t>
  </si>
  <si>
    <t>CWEN</t>
  </si>
  <si>
    <t>CWENA</t>
  </si>
  <si>
    <t>CWH</t>
  </si>
  <si>
    <t>CWK</t>
  </si>
  <si>
    <t>CWST</t>
  </si>
  <si>
    <t>CWT</t>
  </si>
  <si>
    <t>CXW</t>
  </si>
  <si>
    <t>CYH</t>
  </si>
  <si>
    <t>CYRX</t>
  </si>
  <si>
    <t>CYT</t>
  </si>
  <si>
    <t>CYTK</t>
  </si>
  <si>
    <t>CZNC</t>
  </si>
  <si>
    <t>DAKT</t>
  </si>
  <si>
    <t>DAN</t>
  </si>
  <si>
    <t>DAWN</t>
  </si>
  <si>
    <t>DBD</t>
  </si>
  <si>
    <t>DBI</t>
  </si>
  <si>
    <t>DBRG</t>
  </si>
  <si>
    <t>DCO</t>
  </si>
  <si>
    <t>DCOM</t>
  </si>
  <si>
    <t>DCPH</t>
  </si>
  <si>
    <t>DDD</t>
  </si>
  <si>
    <t>DDS</t>
  </si>
  <si>
    <t>DEA</t>
  </si>
  <si>
    <t>DEN</t>
  </si>
  <si>
    <t>DENN</t>
  </si>
  <si>
    <t>DFIN</t>
  </si>
  <si>
    <t>DGICA</t>
  </si>
  <si>
    <t>DGII</t>
  </si>
  <si>
    <t>DHC</t>
  </si>
  <si>
    <t>DHIL</t>
  </si>
  <si>
    <t>DHT</t>
  </si>
  <si>
    <t>DIBS</t>
  </si>
  <si>
    <t>DICE</t>
  </si>
  <si>
    <t>DIN</t>
  </si>
  <si>
    <t>DIOD</t>
  </si>
  <si>
    <t>DJCO</t>
  </si>
  <si>
    <t>DK</t>
  </si>
  <si>
    <t>DLTH</t>
  </si>
  <si>
    <t>DLX</t>
  </si>
  <si>
    <t>DM</t>
  </si>
  <si>
    <t>DMRC</t>
  </si>
  <si>
    <t>DMS</t>
  </si>
  <si>
    <t>DMTK</t>
  </si>
  <si>
    <t>DNAY</t>
  </si>
  <si>
    <t>DNLI</t>
  </si>
  <si>
    <t>DNMR</t>
  </si>
  <si>
    <t>DNOW</t>
  </si>
  <si>
    <t>DNUT</t>
  </si>
  <si>
    <t>DOC</t>
  </si>
  <si>
    <t>DOCN</t>
  </si>
  <si>
    <t>DOMO</t>
  </si>
  <si>
    <t>DOOR</t>
  </si>
  <si>
    <t>DORM</t>
  </si>
  <si>
    <t>DOUG</t>
  </si>
  <si>
    <t>DRH</t>
  </si>
  <si>
    <t>DRIO</t>
  </si>
  <si>
    <t>DRQ</t>
  </si>
  <si>
    <t>DRRX</t>
  </si>
  <si>
    <t>DS</t>
  </si>
  <si>
    <t>DSGN</t>
  </si>
  <si>
    <t>DSKE</t>
  </si>
  <si>
    <t>DSP</t>
  </si>
  <si>
    <t>DTC</t>
  </si>
  <si>
    <t>DTIL</t>
  </si>
  <si>
    <t>DVAX</t>
  </si>
  <si>
    <t>DX</t>
  </si>
  <si>
    <t>DXPE</t>
  </si>
  <si>
    <t>DY</t>
  </si>
  <si>
    <t>DYN</t>
  </si>
  <si>
    <t>DZSI</t>
  </si>
  <si>
    <t>EAF</t>
  </si>
  <si>
    <t>EAR</t>
  </si>
  <si>
    <t>EAT</t>
  </si>
  <si>
    <t>EB</t>
  </si>
  <si>
    <t>EBC</t>
  </si>
  <si>
    <t>EBET</t>
  </si>
  <si>
    <t>EBF</t>
  </si>
  <si>
    <t>EBIX</t>
  </si>
  <si>
    <t>EBS</t>
  </si>
  <si>
    <t>EBTC</t>
  </si>
  <si>
    <t>ECOL</t>
  </si>
  <si>
    <t>ECOM</t>
  </si>
  <si>
    <t>ECPG</t>
  </si>
  <si>
    <t>ECVT</t>
  </si>
  <si>
    <t>EDIT</t>
  </si>
  <si>
    <t>EEX</t>
  </si>
  <si>
    <t>EFC</t>
  </si>
  <si>
    <t>EFSC</t>
  </si>
  <si>
    <t>EGAN</t>
  </si>
  <si>
    <t>EGBN</t>
  </si>
  <si>
    <t>EGHT</t>
  </si>
  <si>
    <t>EGLE</t>
  </si>
  <si>
    <t>EGP</t>
  </si>
  <si>
    <t>EGRX</t>
  </si>
  <si>
    <t>EHTH</t>
  </si>
  <si>
    <t>EIG</t>
  </si>
  <si>
    <t>EIGR</t>
  </si>
  <si>
    <t>ELF</t>
  </si>
  <si>
    <t>ELY</t>
  </si>
  <si>
    <t>ELYM</t>
  </si>
  <si>
    <t>EME</t>
  </si>
  <si>
    <t>EMKR</t>
  </si>
  <si>
    <t>ENDP</t>
  </si>
  <si>
    <t>ENFN</t>
  </si>
  <si>
    <t>ENR</t>
  </si>
  <si>
    <t>ENS</t>
  </si>
  <si>
    <t>ENSG</t>
  </si>
  <si>
    <t>ENTA</t>
  </si>
  <si>
    <t>ENV</t>
  </si>
  <si>
    <t>ENVA</t>
  </si>
  <si>
    <t>EOLS</t>
  </si>
  <si>
    <t>EOSE</t>
  </si>
  <si>
    <t>EPAC</t>
  </si>
  <si>
    <t>EPAY</t>
  </si>
  <si>
    <t>EPC</t>
  </si>
  <si>
    <t>EPRT</t>
  </si>
  <si>
    <t>EPZM</t>
  </si>
  <si>
    <t>EQBK</t>
  </si>
  <si>
    <t>EQC</t>
  </si>
  <si>
    <t>ERAS</t>
  </si>
  <si>
    <t>ERII</t>
  </si>
  <si>
    <t>ESCA</t>
  </si>
  <si>
    <t>ESE</t>
  </si>
  <si>
    <t>ESGR</t>
  </si>
  <si>
    <t>ESMT</t>
  </si>
  <si>
    <t>ESNT</t>
  </si>
  <si>
    <t>ESPR</t>
  </si>
  <si>
    <t>ESRT</t>
  </si>
  <si>
    <t>ESTE</t>
  </si>
  <si>
    <t>ETD</t>
  </si>
  <si>
    <t>ETNB</t>
  </si>
  <si>
    <t>ETRN</t>
  </si>
  <si>
    <t>ETWO</t>
  </si>
  <si>
    <t>EVC</t>
  </si>
  <si>
    <t>EVCM</t>
  </si>
  <si>
    <t>EVER</t>
  </si>
  <si>
    <t>EVH</t>
  </si>
  <si>
    <t>EVI</t>
  </si>
  <si>
    <t>EVLO</t>
  </si>
  <si>
    <t>EVOP</t>
  </si>
  <si>
    <t>EVRI</t>
  </si>
  <si>
    <t>EVTC</t>
  </si>
  <si>
    <t>EWCZ</t>
  </si>
  <si>
    <t>EWTX</t>
  </si>
  <si>
    <t>EXLS</t>
  </si>
  <si>
    <t>EXPI</t>
  </si>
  <si>
    <t>EXPO</t>
  </si>
  <si>
    <t>EXTR</t>
  </si>
  <si>
    <t>EYE</t>
  </si>
  <si>
    <t>EYPT</t>
  </si>
  <si>
    <t>EZPW</t>
  </si>
  <si>
    <t>FA</t>
  </si>
  <si>
    <t>FARO</t>
  </si>
  <si>
    <t>FATE</t>
  </si>
  <si>
    <t>FBC</t>
  </si>
  <si>
    <t>FBIO</t>
  </si>
  <si>
    <t>FBK</t>
  </si>
  <si>
    <t>FBMS</t>
  </si>
  <si>
    <t>FBNC</t>
  </si>
  <si>
    <t>FBP</t>
  </si>
  <si>
    <t>FBRT</t>
  </si>
  <si>
    <t>FBRX</t>
  </si>
  <si>
    <t>FC</t>
  </si>
  <si>
    <t>FCBC</t>
  </si>
  <si>
    <t>FCEL</t>
  </si>
  <si>
    <t>FCF</t>
  </si>
  <si>
    <t>FCFS</t>
  </si>
  <si>
    <t>FCPT</t>
  </si>
  <si>
    <t>FDBC</t>
  </si>
  <si>
    <t>FDMT</t>
  </si>
  <si>
    <t>FDP</t>
  </si>
  <si>
    <t>FELE</t>
  </si>
  <si>
    <t>FF</t>
  </si>
  <si>
    <t>FFBC</t>
  </si>
  <si>
    <t>FFIC</t>
  </si>
  <si>
    <t>FFIN</t>
  </si>
  <si>
    <t>FFWM</t>
  </si>
  <si>
    <t>FGEN</t>
  </si>
  <si>
    <t>FHI</t>
  </si>
  <si>
    <t>FHTX</t>
  </si>
  <si>
    <t>FIBK</t>
  </si>
  <si>
    <t>FISI</t>
  </si>
  <si>
    <t>FIX</t>
  </si>
  <si>
    <t>FIXX</t>
  </si>
  <si>
    <t>FIZZ</t>
  </si>
  <si>
    <t>FLGT</t>
  </si>
  <si>
    <t>FLIC</t>
  </si>
  <si>
    <t>FLL</t>
  </si>
  <si>
    <t>FLNT</t>
  </si>
  <si>
    <t>FLR</t>
  </si>
  <si>
    <t>FLWS</t>
  </si>
  <si>
    <t>FLXS</t>
  </si>
  <si>
    <t>FLYW</t>
  </si>
  <si>
    <t>FMBH</t>
  </si>
  <si>
    <t>FMNB</t>
  </si>
  <si>
    <t>FMTX</t>
  </si>
  <si>
    <t>FN</t>
  </si>
  <si>
    <t>FNA</t>
  </si>
  <si>
    <t>FNCH</t>
  </si>
  <si>
    <t>FNKO</t>
  </si>
  <si>
    <t>FNLC</t>
  </si>
  <si>
    <t>FOA</t>
  </si>
  <si>
    <t>FOCS</t>
  </si>
  <si>
    <t>FOE</t>
  </si>
  <si>
    <t>FOLD</t>
  </si>
  <si>
    <t>FOR</t>
  </si>
  <si>
    <t>FORA</t>
  </si>
  <si>
    <t>FORM</t>
  </si>
  <si>
    <t>FORR</t>
  </si>
  <si>
    <t>FOSL</t>
  </si>
  <si>
    <t>FOXF</t>
  </si>
  <si>
    <t>FPI</t>
  </si>
  <si>
    <t>FRBA</t>
  </si>
  <si>
    <t>FRBK</t>
  </si>
  <si>
    <t>FREE</t>
  </si>
  <si>
    <t>FREQ</t>
  </si>
  <si>
    <t>FRG</t>
  </si>
  <si>
    <t>FRGI</t>
  </si>
  <si>
    <t>FRME</t>
  </si>
  <si>
    <t>FRO</t>
  </si>
  <si>
    <t>FROG</t>
  </si>
  <si>
    <t>FRPH</t>
  </si>
  <si>
    <t>FRST</t>
  </si>
  <si>
    <t>FSBC</t>
  </si>
  <si>
    <t>FSBW</t>
  </si>
  <si>
    <t>FSP</t>
  </si>
  <si>
    <t>FSR</t>
  </si>
  <si>
    <t>FSS</t>
  </si>
  <si>
    <t>FTCI</t>
  </si>
  <si>
    <t>FTHM</t>
  </si>
  <si>
    <t>FUBO</t>
  </si>
  <si>
    <t>FUL</t>
  </si>
  <si>
    <t>FULC</t>
  </si>
  <si>
    <t>FULT</t>
  </si>
  <si>
    <t>FUV</t>
  </si>
  <si>
    <t>FWRD</t>
  </si>
  <si>
    <t>FWRG</t>
  </si>
  <si>
    <t>FXLV</t>
  </si>
  <si>
    <t>GABC</t>
  </si>
  <si>
    <t>GAN</t>
  </si>
  <si>
    <t>GATO</t>
  </si>
  <si>
    <t>GATX</t>
  </si>
  <si>
    <t>GBCI</t>
  </si>
  <si>
    <t>GBIO</t>
  </si>
  <si>
    <t>GBL</t>
  </si>
  <si>
    <t>GBOX</t>
  </si>
  <si>
    <t>GBT</t>
  </si>
  <si>
    <t>GBX</t>
  </si>
  <si>
    <t>GCI</t>
  </si>
  <si>
    <t>GCMG</t>
  </si>
  <si>
    <t>GCO</t>
  </si>
  <si>
    <t>GCP</t>
  </si>
  <si>
    <t>GDEN</t>
  </si>
  <si>
    <t>GDOT</t>
  </si>
  <si>
    <t>GDYN</t>
  </si>
  <si>
    <t>GEF</t>
  </si>
  <si>
    <t>GEFB</t>
  </si>
  <si>
    <t>GEO</t>
  </si>
  <si>
    <t>GERN</t>
  </si>
  <si>
    <t>GES</t>
  </si>
  <si>
    <t>GEVO</t>
  </si>
  <si>
    <t>GFF</t>
  </si>
  <si>
    <t>GHC</t>
  </si>
  <si>
    <t>GHL</t>
  </si>
  <si>
    <t>GIC</t>
  </si>
  <si>
    <t>GIII</t>
  </si>
  <si>
    <t>GKOS</t>
  </si>
  <si>
    <t>GLDD</t>
  </si>
  <si>
    <t>GLNG</t>
  </si>
  <si>
    <t>GLRE</t>
  </si>
  <si>
    <t>GLSI</t>
  </si>
  <si>
    <t>GLT</t>
  </si>
  <si>
    <t>GLUE</t>
  </si>
  <si>
    <t>GMRE</t>
  </si>
  <si>
    <t>GMS</t>
  </si>
  <si>
    <t>GMTX</t>
  </si>
  <si>
    <t>GNK</t>
  </si>
  <si>
    <t>GNL</t>
  </si>
  <si>
    <t>GNLN</t>
  </si>
  <si>
    <t>GNOG</t>
  </si>
  <si>
    <t>GNTY</t>
  </si>
  <si>
    <t>GNUS</t>
  </si>
  <si>
    <t>GNW</t>
  </si>
  <si>
    <t>GOEV</t>
  </si>
  <si>
    <t>GOGO</t>
  </si>
  <si>
    <t>GOLF</t>
  </si>
  <si>
    <t>GOOD</t>
  </si>
  <si>
    <t>GOSS</t>
  </si>
  <si>
    <t>GPI</t>
  </si>
  <si>
    <t>GPMT</t>
  </si>
  <si>
    <t>GPRE</t>
  </si>
  <si>
    <t>GPRO</t>
  </si>
  <si>
    <t>GRBK</t>
  </si>
  <si>
    <t>GRC</t>
  </si>
  <si>
    <t>GRPH</t>
  </si>
  <si>
    <t>GRPN</t>
  </si>
  <si>
    <t>GRTS</t>
  </si>
  <si>
    <t>GRWG</t>
  </si>
  <si>
    <t>GSAT</t>
  </si>
  <si>
    <t>GSBC</t>
  </si>
  <si>
    <t>GSHD</t>
  </si>
  <si>
    <t>GT</t>
  </si>
  <si>
    <t>GTBP</t>
  </si>
  <si>
    <t>GTHX</t>
  </si>
  <si>
    <t>GTLS</t>
  </si>
  <si>
    <t>GTN</t>
  </si>
  <si>
    <t>GTY</t>
  </si>
  <si>
    <t>GTYH</t>
  </si>
  <si>
    <t>GVA</t>
  </si>
  <si>
    <t>GWRS</t>
  </si>
  <si>
    <t>HA</t>
  </si>
  <si>
    <t>HAE</t>
  </si>
  <si>
    <t>HAFC</t>
  </si>
  <si>
    <t>HALO</t>
  </si>
  <si>
    <t>HARP</t>
  </si>
  <si>
    <t>HASI</t>
  </si>
  <si>
    <t>HAYN</t>
  </si>
  <si>
    <t>HBB</t>
  </si>
  <si>
    <t>HBCP</t>
  </si>
  <si>
    <t>HBIO</t>
  </si>
  <si>
    <t>HBNC</t>
  </si>
  <si>
    <t>HBT</t>
  </si>
  <si>
    <t>HCAT</t>
  </si>
  <si>
    <t>HCC</t>
  </si>
  <si>
    <t>HCCI</t>
  </si>
  <si>
    <t>HCI</t>
  </si>
  <si>
    <t>HCKT</t>
  </si>
  <si>
    <t>HCSG</t>
  </si>
  <si>
    <t>HEAR</t>
  </si>
  <si>
    <t>HEES</t>
  </si>
  <si>
    <t>HELE</t>
  </si>
  <si>
    <t>HFFG</t>
  </si>
  <si>
    <t>HFWA</t>
  </si>
  <si>
    <t>HGEN</t>
  </si>
  <si>
    <t>HGV</t>
  </si>
  <si>
    <t>HI</t>
  </si>
  <si>
    <t>HIBB</t>
  </si>
  <si>
    <t>HIFS</t>
  </si>
  <si>
    <t>HL</t>
  </si>
  <si>
    <t>HLI</t>
  </si>
  <si>
    <t>HLIO</t>
  </si>
  <si>
    <t>HLIT</t>
  </si>
  <si>
    <t>HLNE</t>
  </si>
  <si>
    <t>HLTH</t>
  </si>
  <si>
    <t>HLX</t>
  </si>
  <si>
    <t>HMN</t>
  </si>
  <si>
    <t>HMPT</t>
  </si>
  <si>
    <t>HMST</t>
  </si>
  <si>
    <t>HMTV</t>
  </si>
  <si>
    <t>HNGR</t>
  </si>
  <si>
    <t>HNI</t>
  </si>
  <si>
    <t>HNST</t>
  </si>
  <si>
    <t>HOFT</t>
  </si>
  <si>
    <t>HOFV</t>
  </si>
  <si>
    <t>HOMB</t>
  </si>
  <si>
    <t>HONE</t>
  </si>
  <si>
    <t>HOOK</t>
  </si>
  <si>
    <t>HOPE</t>
  </si>
  <si>
    <t>HOV</t>
  </si>
  <si>
    <t>HOWL</t>
  </si>
  <si>
    <t>HP</t>
  </si>
  <si>
    <t>HPK</t>
  </si>
  <si>
    <t>HQI</t>
  </si>
  <si>
    <t>HQY</t>
  </si>
  <si>
    <t>HR</t>
  </si>
  <si>
    <t>HRI</t>
  </si>
  <si>
    <t>HRMY</t>
  </si>
  <si>
    <t>HRT</t>
  </si>
  <si>
    <t>HRTG</t>
  </si>
  <si>
    <t>HRTX</t>
  </si>
  <si>
    <t>HSC</t>
  </si>
  <si>
    <t>HSII</t>
  </si>
  <si>
    <t>HSKA</t>
  </si>
  <si>
    <t>HSTM</t>
  </si>
  <si>
    <t>HT</t>
  </si>
  <si>
    <t>HTBI</t>
  </si>
  <si>
    <t>HTBK</t>
  </si>
  <si>
    <t>HTH</t>
  </si>
  <si>
    <t>HTLD</t>
  </si>
  <si>
    <t>HTLF</t>
  </si>
  <si>
    <t>HUBG</t>
  </si>
  <si>
    <t>HURN</t>
  </si>
  <si>
    <t>HVT</t>
  </si>
  <si>
    <t>HWC</t>
  </si>
  <si>
    <t>HWKN</t>
  </si>
  <si>
    <t>HY</t>
  </si>
  <si>
    <t>HYFM</t>
  </si>
  <si>
    <t>HYLN</t>
  </si>
  <si>
    <t>HYRE</t>
  </si>
  <si>
    <t>HZO</t>
  </si>
  <si>
    <t>IAS</t>
  </si>
  <si>
    <t>IBCP</t>
  </si>
  <si>
    <t>IBEX</t>
  </si>
  <si>
    <t>IBIO</t>
  </si>
  <si>
    <t>IBOC</t>
  </si>
  <si>
    <t>IBP</t>
  </si>
  <si>
    <t>IBRX</t>
  </si>
  <si>
    <t>IBTX</t>
  </si>
  <si>
    <t>ICAD</t>
  </si>
  <si>
    <t>ICFI</t>
  </si>
  <si>
    <t>ICHR</t>
  </si>
  <si>
    <t>ICPT</t>
  </si>
  <si>
    <t>ICVX</t>
  </si>
  <si>
    <t>IDCC</t>
  </si>
  <si>
    <t>IDEX</t>
  </si>
  <si>
    <t>IDT</t>
  </si>
  <si>
    <t>IDYA</t>
  </si>
  <si>
    <t>IEA</t>
  </si>
  <si>
    <t>IESC</t>
  </si>
  <si>
    <t>IGMS</t>
  </si>
  <si>
    <t>IGT</t>
  </si>
  <si>
    <t>IHRT</t>
  </si>
  <si>
    <t>IIIN</t>
  </si>
  <si>
    <t>IIIV</t>
  </si>
  <si>
    <t>IIPR</t>
  </si>
  <si>
    <t>IIVI</t>
  </si>
  <si>
    <t>IKNA</t>
  </si>
  <si>
    <t>ILPT</t>
  </si>
  <si>
    <t>IMAX</t>
  </si>
  <si>
    <t>IMGN</t>
  </si>
  <si>
    <t>IMGO</t>
  </si>
  <si>
    <t>IMKTA</t>
  </si>
  <si>
    <t>IMPL</t>
  </si>
  <si>
    <t>IMRX</t>
  </si>
  <si>
    <t>IMUX</t>
  </si>
  <si>
    <t>IMVT</t>
  </si>
  <si>
    <t>IMXI</t>
  </si>
  <si>
    <t>INBK</t>
  </si>
  <si>
    <t>INBX</t>
  </si>
  <si>
    <t>INDB</t>
  </si>
  <si>
    <t>INDT</t>
  </si>
  <si>
    <t>INFI</t>
  </si>
  <si>
    <t>INFN</t>
  </si>
  <si>
    <t>INFU</t>
  </si>
  <si>
    <t>INGN</t>
  </si>
  <si>
    <t>INN</t>
  </si>
  <si>
    <t>INNV</t>
  </si>
  <si>
    <t>INO</t>
  </si>
  <si>
    <t>INSG</t>
  </si>
  <si>
    <t>INSM</t>
  </si>
  <si>
    <t>INSP</t>
  </si>
  <si>
    <t>INST</t>
  </si>
  <si>
    <t>INSW</t>
  </si>
  <si>
    <t>INT</t>
  </si>
  <si>
    <t>INTA</t>
  </si>
  <si>
    <t>INVA</t>
  </si>
  <si>
    <t>INVE</t>
  </si>
  <si>
    <t>INZY</t>
  </si>
  <si>
    <t>IOSP</t>
  </si>
  <si>
    <t>IPAR</t>
  </si>
  <si>
    <t>IPI</t>
  </si>
  <si>
    <t>IPSC</t>
  </si>
  <si>
    <t>IRBT</t>
  </si>
  <si>
    <t>IRDM</t>
  </si>
  <si>
    <t>IRMD</t>
  </si>
  <si>
    <t>IRT</t>
  </si>
  <si>
    <t>IRTC</t>
  </si>
  <si>
    <t>IRWD</t>
  </si>
  <si>
    <t>ISEE</t>
  </si>
  <si>
    <t>ISO</t>
  </si>
  <si>
    <t>ITCI</t>
  </si>
  <si>
    <t>ITGR</t>
  </si>
  <si>
    <t>ITI</t>
  </si>
  <si>
    <t>ITIC</t>
  </si>
  <si>
    <t>ITOS</t>
  </si>
  <si>
    <t>ITRI</t>
  </si>
  <si>
    <t>IVC</t>
  </si>
  <si>
    <t>IVR</t>
  </si>
  <si>
    <t>JACK</t>
  </si>
  <si>
    <t>JANX</t>
  </si>
  <si>
    <t>JBSS</t>
  </si>
  <si>
    <t>JBT</t>
  </si>
  <si>
    <t>JELD</t>
  </si>
  <si>
    <t>JJSF</t>
  </si>
  <si>
    <t>JNCE</t>
  </si>
  <si>
    <t>JOAN</t>
  </si>
  <si>
    <t>JOE</t>
  </si>
  <si>
    <t>JOUT</t>
  </si>
  <si>
    <t>JRVR</t>
  </si>
  <si>
    <t>JYNT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</si>
  <si>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</si>
  <si>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</si>
  <si>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</si>
  <si>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</si>
  <si>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</si>
  <si>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</si>
  <si>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</si>
  <si>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</si>
  <si>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</si>
  <si>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KDNY</t>
  </si>
  <si>
    <t>KE</t>
  </si>
  <si>
    <t>KELYA</t>
  </si>
  <si>
    <t>KFRC</t>
  </si>
  <si>
    <t>KFY</t>
  </si>
  <si>
    <t>KIDS</t>
  </si>
  <si>
    <t>KIRK</t>
  </si>
  <si>
    <t>KLDO</t>
  </si>
  <si>
    <t>KLIC</t>
  </si>
  <si>
    <t>KLTR</t>
  </si>
  <si>
    <t>KMPH</t>
  </si>
  <si>
    <t>KMT</t>
  </si>
  <si>
    <t>KN</t>
  </si>
  <si>
    <t>KNSA</t>
  </si>
  <si>
    <t>KNSL</t>
  </si>
  <si>
    <t>KNTE</t>
  </si>
  <si>
    <t>KNTK</t>
  </si>
  <si>
    <t>KOD</t>
  </si>
  <si>
    <t>KODK</t>
  </si>
  <si>
    <t>KOP</t>
  </si>
  <si>
    <t>KOPN</t>
  </si>
  <si>
    <t>KOS</t>
  </si>
  <si>
    <t>KPTI</t>
  </si>
  <si>
    <t>KREF</t>
  </si>
  <si>
    <t>KRG</t>
  </si>
  <si>
    <t>KRNY</t>
  </si>
  <si>
    <t>KRO</t>
  </si>
  <si>
    <t>KRON</t>
  </si>
  <si>
    <t>KROS</t>
  </si>
  <si>
    <t>KRT</t>
  </si>
  <si>
    <t>KRTX</t>
  </si>
  <si>
    <t>KRUS</t>
  </si>
  <si>
    <t>KRYS</t>
  </si>
  <si>
    <t>KTB</t>
  </si>
  <si>
    <t>KTOS</t>
  </si>
  <si>
    <t>KURA</t>
  </si>
  <si>
    <t>KVHI</t>
  </si>
  <si>
    <t>KW</t>
  </si>
  <si>
    <t>KWR</t>
  </si>
  <si>
    <t>KYMR</t>
  </si>
  <si>
    <t>KZR</t>
  </si>
  <si>
    <t>LAB</t>
  </si>
  <si>
    <t>LABP</t>
  </si>
  <si>
    <t>LADR</t>
  </si>
  <si>
    <t>LANC</t>
  </si>
  <si>
    <t>LAND</t>
  </si>
  <si>
    <t>LASR</t>
  </si>
  <si>
    <t>LAUR</t>
  </si>
  <si>
    <t>LAW</t>
  </si>
  <si>
    <t>LAZY</t>
  </si>
  <si>
    <t>LBAI</t>
  </si>
  <si>
    <t>LBC</t>
  </si>
  <si>
    <t>LBRT</t>
  </si>
  <si>
    <t>LC</t>
  </si>
  <si>
    <t>LCII</t>
  </si>
  <si>
    <t>LCTX</t>
  </si>
  <si>
    <t>LCUT</t>
  </si>
  <si>
    <t>LE</t>
  </si>
  <si>
    <t>LEGH</t>
  </si>
  <si>
    <t>LEU</t>
  </si>
  <si>
    <t>LFST</t>
  </si>
  <si>
    <t>LGFA</t>
  </si>
  <si>
    <t>LGFB</t>
  </si>
  <si>
    <t>LGIH</t>
  </si>
  <si>
    <t>LGND</t>
  </si>
  <si>
    <t>LHCG</t>
  </si>
  <si>
    <t>LILA</t>
  </si>
  <si>
    <t>LILAK</t>
  </si>
  <si>
    <t>LIND</t>
  </si>
  <si>
    <t>LIVN</t>
  </si>
  <si>
    <t>LKFN</t>
  </si>
  <si>
    <t>LL</t>
  </si>
  <si>
    <t>LLNW</t>
  </si>
  <si>
    <t>LMAT</t>
  </si>
  <si>
    <t>LMNR</t>
  </si>
  <si>
    <t>LNDC</t>
  </si>
  <si>
    <t>LNN</t>
  </si>
  <si>
    <t>LNTH</t>
  </si>
  <si>
    <t>LOB</t>
  </si>
  <si>
    <t>LOCO</t>
  </si>
  <si>
    <t>LOTZ</t>
  </si>
  <si>
    <t>LOVE</t>
  </si>
  <si>
    <t>LPG</t>
  </si>
  <si>
    <t>LPI</t>
  </si>
  <si>
    <t>LPRO</t>
  </si>
  <si>
    <t>LPSN</t>
  </si>
  <si>
    <t>LQDT</t>
  </si>
  <si>
    <t>LRN</t>
  </si>
  <si>
    <t>LSCC</t>
  </si>
  <si>
    <t>LSEA</t>
  </si>
  <si>
    <t>LSF</t>
  </si>
  <si>
    <t>LTC</t>
  </si>
  <si>
    <t>LTH</t>
  </si>
  <si>
    <t>LTHM</t>
  </si>
  <si>
    <t>LTRPA</t>
  </si>
  <si>
    <t>LUNA</t>
  </si>
  <si>
    <t>LUNG</t>
  </si>
  <si>
    <t>LVLU</t>
  </si>
  <si>
    <t>LVO</t>
  </si>
  <si>
    <t>LXFR</t>
  </si>
  <si>
    <t>LXP</t>
  </si>
  <si>
    <t>LXRX</t>
  </si>
  <si>
    <t>LYEL</t>
  </si>
  <si>
    <t>LZB</t>
  </si>
  <si>
    <t>M</t>
  </si>
  <si>
    <t>MAC</t>
  </si>
  <si>
    <t>MANT</t>
  </si>
  <si>
    <t>MARA</t>
  </si>
  <si>
    <t>MASS</t>
  </si>
  <si>
    <t>MATW</t>
  </si>
  <si>
    <t>MATX</t>
  </si>
  <si>
    <t>MAX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</si>
  <si>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</si>
  <si>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</si>
  <si>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</si>
  <si>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</si>
  <si>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</si>
  <si>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</si>
  <si>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</si>
  <si>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</si>
  <si>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</si>
  <si>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</si>
  <si>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</si>
  <si>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</si>
  <si>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</si>
  <si>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</si>
  <si>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</si>
  <si>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MD</t>
  </si>
  <si>
    <t>MDC</t>
  </si>
  <si>
    <t>MDGL</t>
  </si>
  <si>
    <t>MDRX</t>
  </si>
  <si>
    <t>MDVL</t>
  </si>
  <si>
    <t>MDXG</t>
  </si>
  <si>
    <t>MEC</t>
  </si>
  <si>
    <t>MED</t>
  </si>
  <si>
    <t>MEDP</t>
  </si>
  <si>
    <t>MEG</t>
  </si>
  <si>
    <t>MEI</t>
  </si>
  <si>
    <t>MEIP</t>
  </si>
  <si>
    <t>MESA</t>
  </si>
  <si>
    <t>MFA</t>
  </si>
  <si>
    <t>MG</t>
  </si>
  <si>
    <t>MGEE</t>
  </si>
  <si>
    <t>MGI</t>
  </si>
  <si>
    <t>MGNI</t>
  </si>
  <si>
    <t>MGNX</t>
  </si>
  <si>
    <t>MGPI</t>
  </si>
  <si>
    <t>MGRC</t>
  </si>
  <si>
    <t>MGTA</t>
  </si>
  <si>
    <t>MGTX</t>
  </si>
  <si>
    <t>MGY</t>
  </si>
  <si>
    <t>MHLD</t>
  </si>
  <si>
    <t>MHO</t>
  </si>
  <si>
    <t>MILE</t>
  </si>
  <si>
    <t>MIME</t>
  </si>
  <si>
    <t>MIRM</t>
  </si>
  <si>
    <t>MITK</t>
  </si>
  <si>
    <t>MLAB</t>
  </si>
  <si>
    <t>MLI</t>
  </si>
  <si>
    <t>MLKN</t>
  </si>
  <si>
    <t>MLNK</t>
  </si>
  <si>
    <t>MLR</t>
  </si>
  <si>
    <t>MMAT</t>
  </si>
  <si>
    <t>MMI</t>
  </si>
  <si>
    <t>MMS</t>
  </si>
  <si>
    <t>MMSI</t>
  </si>
  <si>
    <t>MNKD</t>
  </si>
  <si>
    <t>MNMD</t>
  </si>
  <si>
    <t>MNRL</t>
  </si>
  <si>
    <t>MNRO</t>
  </si>
  <si>
    <t>MNTV</t>
  </si>
  <si>
    <t>MOD</t>
  </si>
  <si>
    <t>MODN</t>
  </si>
  <si>
    <t>MODV</t>
  </si>
  <si>
    <t>MOFG</t>
  </si>
  <si>
    <t>MOGA</t>
  </si>
  <si>
    <t>MORF</t>
  </si>
  <si>
    <t>MOV</t>
  </si>
  <si>
    <t>MP</t>
  </si>
  <si>
    <t>MPAA</t>
  </si>
  <si>
    <t>MPB</t>
  </si>
  <si>
    <t>MPLN</t>
  </si>
  <si>
    <t>MPX</t>
  </si>
  <si>
    <t>MRC</t>
  </si>
  <si>
    <t>MRNS</t>
  </si>
  <si>
    <t>MRSN</t>
  </si>
  <si>
    <t>MRTN</t>
  </si>
  <si>
    <t>MSBI</t>
  </si>
  <si>
    <t>MSEX</t>
  </si>
  <si>
    <t>MSGE</t>
  </si>
  <si>
    <t>MSTR</t>
  </si>
  <si>
    <t>MTDR</t>
  </si>
  <si>
    <t>MTEM</t>
  </si>
  <si>
    <t>MTH</t>
  </si>
  <si>
    <t>MTOR</t>
  </si>
  <si>
    <t>MTRN</t>
  </si>
  <si>
    <t>MTRX</t>
  </si>
  <si>
    <t>MTSI</t>
  </si>
  <si>
    <t>MTW</t>
  </si>
  <si>
    <t>MTX</t>
  </si>
  <si>
    <t>MUR</t>
  </si>
  <si>
    <t>MUSA</t>
  </si>
  <si>
    <t>MVBF</t>
  </si>
  <si>
    <t>MVIS</t>
  </si>
  <si>
    <t>MWA</t>
  </si>
  <si>
    <t>MXCT</t>
  </si>
  <si>
    <t>MXL</t>
  </si>
  <si>
    <t>MYE</t>
  </si>
  <si>
    <t>MYGN</t>
  </si>
  <si>
    <t>MYRG</t>
  </si>
  <si>
    <t>NAPA</t>
  </si>
  <si>
    <t>NARI</t>
  </si>
  <si>
    <t>NAT</t>
  </si>
  <si>
    <t>NATH</t>
  </si>
  <si>
    <t>NATR</t>
  </si>
  <si>
    <t>NAVI</t>
  </si>
  <si>
    <t>NBEV</t>
  </si>
  <si>
    <t>NBHC</t>
  </si>
  <si>
    <t>NBR</t>
  </si>
  <si>
    <t>NBTB</t>
  </si>
  <si>
    <t>NCBS</t>
  </si>
  <si>
    <t>NCMI</t>
  </si>
  <si>
    <t>NDLS</t>
  </si>
  <si>
    <t>NEO</t>
  </si>
  <si>
    <t>NEOG</t>
  </si>
  <si>
    <t>NESR</t>
  </si>
  <si>
    <t>NEX</t>
  </si>
  <si>
    <t>NEXI</t>
  </si>
  <si>
    <t>NFBK</t>
  </si>
  <si>
    <t>NG</t>
  </si>
  <si>
    <t>NGM</t>
  </si>
  <si>
    <t>NGMS</t>
  </si>
  <si>
    <t>NGVC</t>
  </si>
  <si>
    <t>NGVT</t>
  </si>
  <si>
    <t>NH</t>
  </si>
  <si>
    <t>NHC</t>
  </si>
  <si>
    <t>NHI</t>
  </si>
  <si>
    <t>NJR</t>
  </si>
  <si>
    <t>NKLA</t>
  </si>
  <si>
    <t>NKTX</t>
  </si>
  <si>
    <t>NL</t>
  </si>
  <si>
    <t>NLS</t>
  </si>
  <si>
    <t>NLTX</t>
  </si>
  <si>
    <t>NMIH</t>
  </si>
  <si>
    <t>NMRK</t>
  </si>
  <si>
    <t>NMTR</t>
  </si>
  <si>
    <t>NNBR</t>
  </si>
  <si>
    <t>NNI</t>
  </si>
  <si>
    <t>NODK</t>
  </si>
  <si>
    <t>NOG</t>
  </si>
  <si>
    <t>NOTV</t>
  </si>
  <si>
    <t>NOVA</t>
  </si>
  <si>
    <t>NOVT</t>
  </si>
  <si>
    <t>NP</t>
  </si>
  <si>
    <t>NPCE</t>
  </si>
  <si>
    <t>NPK</t>
  </si>
  <si>
    <t>NPO</t>
  </si>
  <si>
    <t>NPTN</t>
  </si>
  <si>
    <t>NR</t>
  </si>
  <si>
    <t>NRC</t>
  </si>
  <si>
    <t>NRIM</t>
  </si>
  <si>
    <t>NRIX</t>
  </si>
  <si>
    <t>NSA</t>
  </si>
  <si>
    <t>NSIT</t>
  </si>
  <si>
    <t>NSP</t>
  </si>
  <si>
    <t>NSSC</t>
  </si>
  <si>
    <t>NSTG</t>
  </si>
  <si>
    <t>NTB</t>
  </si>
  <si>
    <t>NTCT</t>
  </si>
  <si>
    <t>NTGR</t>
  </si>
  <si>
    <t>NTLA</t>
  </si>
  <si>
    <t>NTST</t>
  </si>
  <si>
    <t>NTUS</t>
  </si>
  <si>
    <t>NUS</t>
  </si>
  <si>
    <t>NUVA</t>
  </si>
  <si>
    <t>NUVB</t>
  </si>
  <si>
    <t>NUVL</t>
  </si>
  <si>
    <t>NVEC</t>
  </si>
  <si>
    <t>NVEE</t>
  </si>
  <si>
    <t>NVRO</t>
  </si>
  <si>
    <t>NVTA</t>
  </si>
  <si>
    <t>NWBI</t>
  </si>
  <si>
    <t>NWE</t>
  </si>
  <si>
    <t>NWLI</t>
  </si>
  <si>
    <t>NWN</t>
  </si>
  <si>
    <t>NWPX</t>
  </si>
  <si>
    <t>NX</t>
  </si>
  <si>
    <t>NXGN</t>
  </si>
  <si>
    <t>NXRT</t>
  </si>
  <si>
    <t>NYMT</t>
  </si>
  <si>
    <t>OAS</t>
  </si>
  <si>
    <t>OB</t>
  </si>
  <si>
    <t>OBNK</t>
  </si>
  <si>
    <t>OCDX</t>
  </si>
  <si>
    <t>OCFC</t>
  </si>
  <si>
    <t>OCGN</t>
  </si>
  <si>
    <t>OCN</t>
  </si>
  <si>
    <t>OCUL</t>
  </si>
  <si>
    <t>OCX</t>
  </si>
  <si>
    <t>ODC</t>
  </si>
  <si>
    <t>ODP</t>
  </si>
  <si>
    <t>OEC</t>
  </si>
  <si>
    <t>OFC</t>
  </si>
  <si>
    <t>OFG</t>
  </si>
  <si>
    <t>OFIX</t>
  </si>
  <si>
    <t>OFLX</t>
  </si>
  <si>
    <t>OGS</t>
  </si>
  <si>
    <t>OI</t>
  </si>
  <si>
    <t>OII</t>
  </si>
  <si>
    <t>OIS</t>
  </si>
  <si>
    <t>OLMA</t>
  </si>
  <si>
    <t>OLP</t>
  </si>
  <si>
    <t>OM</t>
  </si>
  <si>
    <t>OMCL</t>
  </si>
  <si>
    <t>OMER</t>
  </si>
  <si>
    <t>OMGA</t>
  </si>
  <si>
    <t>OMI</t>
  </si>
  <si>
    <t>OMIC</t>
  </si>
  <si>
    <t>ONB</t>
  </si>
  <si>
    <t>ONCR</t>
  </si>
  <si>
    <t>ONCT</t>
  </si>
  <si>
    <t>ONEM</t>
  </si>
  <si>
    <t>ONEW</t>
  </si>
  <si>
    <t>ONTF</t>
  </si>
  <si>
    <t>ONTO</t>
  </si>
  <si>
    <t>OOMA</t>
  </si>
  <si>
    <t>OPCH</t>
  </si>
  <si>
    <t>OPI</t>
  </si>
  <si>
    <t>OPK</t>
  </si>
  <si>
    <t>OPRT</t>
  </si>
  <si>
    <t>OPRX</t>
  </si>
  <si>
    <t>OPY</t>
  </si>
  <si>
    <t>ORA</t>
  </si>
  <si>
    <t>ORC</t>
  </si>
  <si>
    <t>ORGO</t>
  </si>
  <si>
    <t>ORIC</t>
  </si>
  <si>
    <t>ORMP</t>
  </si>
  <si>
    <t>ORRF</t>
  </si>
  <si>
    <t>OSBC</t>
  </si>
  <si>
    <t>OSIS</t>
  </si>
  <si>
    <t>OSPN</t>
  </si>
  <si>
    <t>OSTK</t>
  </si>
  <si>
    <t>OSUR</t>
  </si>
  <si>
    <t>OSW</t>
  </si>
  <si>
    <t>OTLK</t>
  </si>
  <si>
    <t>OTRK</t>
  </si>
  <si>
    <t>OTTR</t>
  </si>
  <si>
    <t>OUST</t>
  </si>
  <si>
    <t>OUT</t>
  </si>
  <si>
    <t>OVV</t>
  </si>
  <si>
    <t>OXM</t>
  </si>
  <si>
    <t>OYST</t>
  </si>
  <si>
    <t>PACB</t>
  </si>
  <si>
    <t>PACK</t>
  </si>
  <si>
    <t>PAHC</t>
  </si>
  <si>
    <t>PAR</t>
  </si>
  <si>
    <t>PARR</t>
  </si>
  <si>
    <t>PASG</t>
  </si>
  <si>
    <t>PATK</t>
  </si>
  <si>
    <t>PAVM</t>
  </si>
  <si>
    <t>PAYA</t>
  </si>
  <si>
    <t>PBF</t>
  </si>
  <si>
    <t>PBFS</t>
  </si>
  <si>
    <t>PBH</t>
  </si>
  <si>
    <t>PBI</t>
  </si>
  <si>
    <t>PBYI</t>
  </si>
  <si>
    <t>PCH</t>
  </si>
  <si>
    <t>PCRX</t>
  </si>
  <si>
    <t>PCSB</t>
  </si>
  <si>
    <t>PCT</t>
  </si>
  <si>
    <t>PCVX</t>
  </si>
  <si>
    <t>PCYO</t>
  </si>
  <si>
    <t>PD</t>
  </si>
  <si>
    <t>PDCE</t>
  </si>
  <si>
    <t>PDCO</t>
  </si>
  <si>
    <t>PDFS</t>
  </si>
  <si>
    <t>PDLI</t>
  </si>
  <si>
    <t>PDM</t>
  </si>
  <si>
    <t>PEB</t>
  </si>
  <si>
    <t>PEBO</t>
  </si>
  <si>
    <t>PECO</t>
  </si>
  <si>
    <t>PETQ</t>
  </si>
  <si>
    <t>PETS</t>
  </si>
  <si>
    <t>PFBC</t>
  </si>
  <si>
    <t>PFC</t>
  </si>
  <si>
    <t>PFGC</t>
  </si>
  <si>
    <t>PFIS</t>
  </si>
  <si>
    <t>PFS</t>
  </si>
  <si>
    <t>PFSI</t>
  </si>
  <si>
    <t>PGC</t>
  </si>
  <si>
    <t>PGEN</t>
  </si>
  <si>
    <t>PGNY</t>
  </si>
  <si>
    <t>PGRE</t>
  </si>
  <si>
    <t>PGTI</t>
  </si>
  <si>
    <t>PHAT</t>
  </si>
  <si>
    <t>PHR</t>
  </si>
  <si>
    <t>PI</t>
  </si>
  <si>
    <t>PING</t>
  </si>
  <si>
    <t>PIPR</t>
  </si>
  <si>
    <t>PJT</t>
  </si>
  <si>
    <t>PKE</t>
  </si>
  <si>
    <t>PKOH</t>
  </si>
  <si>
    <t>PLAB</t>
  </si>
  <si>
    <t>PLAY</t>
  </si>
  <si>
    <t>PLBY</t>
  </si>
  <si>
    <t>PLCE</t>
  </si>
  <si>
    <t>PLM</t>
  </si>
  <si>
    <t>PLMR</t>
  </si>
  <si>
    <t>PLOW</t>
  </si>
  <si>
    <t>PLPC</t>
  </si>
  <si>
    <t>PLRX</t>
  </si>
  <si>
    <t>PLSE</t>
  </si>
  <si>
    <t>PLUS</t>
  </si>
  <si>
    <t>PLXS</t>
  </si>
  <si>
    <t>PLYM</t>
  </si>
  <si>
    <t>PMT</t>
  </si>
  <si>
    <t>PMVP</t>
  </si>
  <si>
    <t>PNM</t>
  </si>
  <si>
    <t>PNTG</t>
  </si>
  <si>
    <t>POLY</t>
  </si>
  <si>
    <t>POR</t>
  </si>
  <si>
    <t>POWI</t>
  </si>
  <si>
    <t>POWL</t>
  </si>
  <si>
    <t>POWW</t>
  </si>
  <si>
    <t>PPBI</t>
  </si>
  <si>
    <t>PPTA</t>
  </si>
  <si>
    <t>PRA</t>
  </si>
  <si>
    <t>PRAA</t>
  </si>
  <si>
    <t>PRAX</t>
  </si>
  <si>
    <t>PRCH</t>
  </si>
  <si>
    <t>PRCT</t>
  </si>
  <si>
    <t>PRDO</t>
  </si>
  <si>
    <t>PRFT</t>
  </si>
  <si>
    <t>PRG</t>
  </si>
  <si>
    <t>PRGS</t>
  </si>
  <si>
    <t>PRIM</t>
  </si>
  <si>
    <t>PRK</t>
  </si>
  <si>
    <t>PRLB</t>
  </si>
  <si>
    <t>PRLD</t>
  </si>
  <si>
    <t>PRMW</t>
  </si>
  <si>
    <t>PRO</t>
  </si>
  <si>
    <t>PRPL</t>
  </si>
  <si>
    <t>PRTA</t>
  </si>
  <si>
    <t>PRTG</t>
  </si>
  <si>
    <t>PRTH</t>
  </si>
  <si>
    <t>PRTK</t>
  </si>
  <si>
    <t>PRTS</t>
  </si>
  <si>
    <t>PRTY</t>
  </si>
  <si>
    <t>PRVA</t>
  </si>
  <si>
    <t>PRVB</t>
  </si>
  <si>
    <t>PSB</t>
  </si>
  <si>
    <t>PSMT</t>
  </si>
  <si>
    <t>PSN</t>
  </si>
  <si>
    <t>PSNL</t>
  </si>
  <si>
    <t>PSTL</t>
  </si>
  <si>
    <t>PSTX</t>
  </si>
  <si>
    <t>PTCT</t>
  </si>
  <si>
    <t>PTEN</t>
  </si>
  <si>
    <t>PTGX</t>
  </si>
  <si>
    <t>PTLO</t>
  </si>
  <si>
    <t>PTSI</t>
  </si>
  <si>
    <t>PTVE</t>
  </si>
  <si>
    <t>PUMP</t>
  </si>
  <si>
    <t>PVBC</t>
  </si>
  <si>
    <t>PWSC</t>
  </si>
  <si>
    <t>PYXS</t>
  </si>
  <si>
    <t>PZN</t>
  </si>
  <si>
    <t>PZZA</t>
  </si>
  <si>
    <t>QCRH</t>
  </si>
  <si>
    <t>QLYS</t>
  </si>
  <si>
    <t>QMCO</t>
  </si>
  <si>
    <t>QNST</t>
  </si>
  <si>
    <t>QTNT</t>
  </si>
  <si>
    <t>QTRX</t>
  </si>
  <si>
    <t>QTWO</t>
  </si>
  <si>
    <t>QUOT</t>
  </si>
  <si>
    <t>RAD</t>
  </si>
  <si>
    <t>RADI</t>
  </si>
  <si>
    <t>RAIN</t>
  </si>
  <si>
    <t>RAMP</t>
  </si>
  <si>
    <t>RAPT</t>
  </si>
  <si>
    <t>RBB</t>
  </si>
  <si>
    <t>RBBN</t>
  </si>
  <si>
    <t>RBCAA</t>
  </si>
  <si>
    <t>RC</t>
  </si>
  <si>
    <t>RCEL</t>
  </si>
  <si>
    <t>RCII</t>
  </si>
  <si>
    <t>RCKT</t>
  </si>
  <si>
    <t>RCKY</t>
  </si>
  <si>
    <t>RCM</t>
  </si>
  <si>
    <t>RCUS</t>
  </si>
  <si>
    <t>RDFN</t>
  </si>
  <si>
    <t>RDN</t>
  </si>
  <si>
    <t>RDNT</t>
  </si>
  <si>
    <t>RDUS</t>
  </si>
  <si>
    <t>REAL</t>
  </si>
  <si>
    <t>REFI</t>
  </si>
  <si>
    <t>REGI</t>
  </si>
  <si>
    <t>REKR</t>
  </si>
  <si>
    <t>RELY</t>
  </si>
  <si>
    <t>RENT</t>
  </si>
  <si>
    <t>REPL</t>
  </si>
  <si>
    <t>REPX</t>
  </si>
  <si>
    <t>RES</t>
  </si>
  <si>
    <t>RETA</t>
  </si>
  <si>
    <t>REV</t>
  </si>
  <si>
    <t>REVG</t>
  </si>
  <si>
    <t>REX</t>
  </si>
  <si>
    <t>REZI</t>
  </si>
  <si>
    <t>RFL</t>
  </si>
  <si>
    <t>RGNX</t>
  </si>
  <si>
    <t>RGP</t>
  </si>
  <si>
    <t>RGR</t>
  </si>
  <si>
    <t>RGS</t>
  </si>
  <si>
    <t>RHP</t>
  </si>
  <si>
    <t>RICK</t>
  </si>
  <si>
    <t>RIDE</t>
  </si>
  <si>
    <t>RIGL</t>
  </si>
  <si>
    <t>RILY</t>
  </si>
  <si>
    <t>RIOT</t>
  </si>
  <si>
    <t>RLAY</t>
  </si>
  <si>
    <t>RLGT</t>
  </si>
  <si>
    <t>RLI</t>
  </si>
  <si>
    <t>RLJ</t>
  </si>
  <si>
    <t>RLMD</t>
  </si>
  <si>
    <t>RLYB</t>
  </si>
  <si>
    <t>RM</t>
  </si>
  <si>
    <t>RMAX</t>
  </si>
  <si>
    <t>RMBS</t>
  </si>
  <si>
    <t>RMNI</t>
  </si>
  <si>
    <t>RMO</t>
  </si>
  <si>
    <t>RMR</t>
  </si>
  <si>
    <t>RNA</t>
  </si>
  <si>
    <t>RNST</t>
  </si>
  <si>
    <t>ROAD</t>
  </si>
  <si>
    <t>ROCC</t>
  </si>
  <si>
    <t>ROCK</t>
  </si>
  <si>
    <t>ROG</t>
  </si>
  <si>
    <t>ROIC</t>
  </si>
  <si>
    <t>ROLL</t>
  </si>
  <si>
    <t>RPAY</t>
  </si>
  <si>
    <t>RPD</t>
  </si>
  <si>
    <t>RPHM</t>
  </si>
  <si>
    <t>RPID</t>
  </si>
  <si>
    <t>RPT</t>
  </si>
  <si>
    <t>RRBI</t>
  </si>
  <si>
    <t>RRC</t>
  </si>
  <si>
    <t>RRGB</t>
  </si>
  <si>
    <t>RRR</t>
  </si>
  <si>
    <t>RSI</t>
  </si>
  <si>
    <t>RUBY</t>
  </si>
  <si>
    <t>RUSHA</t>
  </si>
  <si>
    <t>RUSHB</t>
  </si>
  <si>
    <t>RUTH</t>
  </si>
  <si>
    <t>RVLV</t>
  </si>
  <si>
    <t>RVMD</t>
  </si>
  <si>
    <t>RVNC</t>
  </si>
  <si>
    <t>RVP</t>
  </si>
  <si>
    <t>RWT</t>
  </si>
  <si>
    <t>RXDX</t>
  </si>
  <si>
    <t>RXRX</t>
  </si>
  <si>
    <t>RXST</t>
  </si>
  <si>
    <t>RXT</t>
  </si>
  <si>
    <t>RYAM</t>
  </si>
  <si>
    <t>RYI</t>
  </si>
  <si>
    <t>RYTM</t>
  </si>
  <si>
    <t>SAFE</t>
  </si>
  <si>
    <t>SAFM</t>
  </si>
  <si>
    <t>SAFT</t>
  </si>
  <si>
    <t>SAH</t>
  </si>
  <si>
    <t>SAIA</t>
  </si>
  <si>
    <t>SAIL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</si>
  <si>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</si>
  <si>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</si>
  <si>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</si>
  <si>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</si>
  <si>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</si>
  <si>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</si>
  <si>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</si>
  <si>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</si>
  <si>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</si>
  <si>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</si>
  <si>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SBRA</t>
  </si>
  <si>
    <t>SBSI</t>
  </si>
  <si>
    <t>SBTX</t>
  </si>
  <si>
    <t>SCHL</t>
  </si>
  <si>
    <t>SCHN</t>
  </si>
  <si>
    <t>SCL</t>
  </si>
  <si>
    <t>SCOR</t>
  </si>
  <si>
    <t>SCS</t>
  </si>
  <si>
    <t>SCSC</t>
  </si>
  <si>
    <t>SCU</t>
  </si>
  <si>
    <t>SCVL</t>
  </si>
  <si>
    <t>SCWX</t>
  </si>
  <si>
    <t>SDGR</t>
  </si>
  <si>
    <t>SDIG</t>
  </si>
  <si>
    <t>SEAS</t>
  </si>
  <si>
    <t>SEEL</t>
  </si>
  <si>
    <t>SEER</t>
  </si>
  <si>
    <t>SELB</t>
  </si>
  <si>
    <t>SEM</t>
  </si>
  <si>
    <t>SENEA</t>
  </si>
  <si>
    <t>SENS</t>
  </si>
  <si>
    <t>SERA</t>
  </si>
  <si>
    <t>SESN</t>
  </si>
  <si>
    <t>SFBS</t>
  </si>
  <si>
    <t>SFIX</t>
  </si>
  <si>
    <t>SFL</t>
  </si>
  <si>
    <t>SFM</t>
  </si>
  <si>
    <t>SFNC</t>
  </si>
  <si>
    <t>SFST</t>
  </si>
  <si>
    <t>SFT</t>
  </si>
  <si>
    <t>SG</t>
  </si>
  <si>
    <t>SGC</t>
  </si>
  <si>
    <t>SGH</t>
  </si>
  <si>
    <t>SGHT</t>
  </si>
  <si>
    <t>SGMO</t>
  </si>
  <si>
    <t>SGRY</t>
  </si>
  <si>
    <t>SGTX</t>
  </si>
  <si>
    <t>SHAK</t>
  </si>
  <si>
    <t>SHEN</t>
  </si>
  <si>
    <t>SHO</t>
  </si>
  <si>
    <t>SHOO</t>
  </si>
  <si>
    <t>SHYF</t>
  </si>
  <si>
    <t>SI</t>
  </si>
  <si>
    <t>SIBN</t>
  </si>
  <si>
    <t>SIEN</t>
  </si>
  <si>
    <t>SIG</t>
  </si>
  <si>
    <t>SIGA</t>
  </si>
  <si>
    <t>SIGI</t>
  </si>
  <si>
    <t>SILK</t>
  </si>
  <si>
    <t>SITC</t>
  </si>
  <si>
    <t>SITM</t>
  </si>
  <si>
    <t>SJI</t>
  </si>
  <si>
    <t>SJW</t>
  </si>
  <si>
    <t>SKIN</t>
  </si>
  <si>
    <t>SKT</t>
  </si>
  <si>
    <t>SKY</t>
  </si>
  <si>
    <t>SKYT</t>
  </si>
  <si>
    <t>SKYW</t>
  </si>
  <si>
    <t>SLAB</t>
  </si>
  <si>
    <t>SLCA</t>
  </si>
  <si>
    <t>SLDB</t>
  </si>
  <si>
    <t>SLP</t>
  </si>
  <si>
    <t>SLQT</t>
  </si>
  <si>
    <t>SM</t>
  </si>
  <si>
    <t>SMBC</t>
  </si>
  <si>
    <t>SMBK</t>
  </si>
  <si>
    <t>SMCI</t>
  </si>
  <si>
    <t>SMED</t>
  </si>
  <si>
    <t>SMMF</t>
  </si>
  <si>
    <t>SMMT</t>
  </si>
  <si>
    <t>SMP</t>
  </si>
  <si>
    <t>SMPL</t>
  </si>
  <si>
    <t>SMSI</t>
  </si>
  <si>
    <t>SMTC</t>
  </si>
  <si>
    <t>SNBR</t>
  </si>
  <si>
    <t>SNCY</t>
  </si>
  <si>
    <t>SNDX</t>
  </si>
  <si>
    <t>SNEX</t>
  </si>
  <si>
    <t>SNPO</t>
  </si>
  <si>
    <t>SNSE</t>
  </si>
  <si>
    <t>SOI</t>
  </si>
  <si>
    <t>SONO</t>
  </si>
  <si>
    <t>SOVO</t>
  </si>
  <si>
    <t>SP</t>
  </si>
  <si>
    <t>SPFI</t>
  </si>
  <si>
    <t>SPNE</t>
  </si>
  <si>
    <t>SPNS</t>
  </si>
  <si>
    <t>SPNT</t>
  </si>
  <si>
    <t>SPPI</t>
  </si>
  <si>
    <t>SPRB</t>
  </si>
  <si>
    <t>SPRO</t>
  </si>
  <si>
    <t>SPSC</t>
  </si>
  <si>
    <t>SPT</t>
  </si>
  <si>
    <t>SPTN</t>
  </si>
  <si>
    <t>SPWH</t>
  </si>
  <si>
    <t>SPWR</t>
  </si>
  <si>
    <t>SPXC</t>
  </si>
  <si>
    <t>SQZ</t>
  </si>
  <si>
    <t>SR</t>
  </si>
  <si>
    <t>SRCE</t>
  </si>
  <si>
    <t>SRDX</t>
  </si>
  <si>
    <t>SRG</t>
  </si>
  <si>
    <t>SRI</t>
  </si>
  <si>
    <t>SRNE</t>
  </si>
  <si>
    <t>SRRK</t>
  </si>
  <si>
    <t>SRT</t>
  </si>
  <si>
    <t>SSB</t>
  </si>
  <si>
    <t>SSD</t>
  </si>
  <si>
    <t>SSP</t>
  </si>
  <si>
    <t>SSTI</t>
  </si>
  <si>
    <t>SSTK</t>
  </si>
  <si>
    <t>STAA</t>
  </si>
  <si>
    <t>STAG</t>
  </si>
  <si>
    <t>STAR</t>
  </si>
  <si>
    <t>STBA</t>
  </si>
  <si>
    <t>STC</t>
  </si>
  <si>
    <t>STEM</t>
  </si>
  <si>
    <t>STEP</t>
  </si>
  <si>
    <t>STER</t>
  </si>
  <si>
    <t>STGW</t>
  </si>
  <si>
    <t>STIM</t>
  </si>
  <si>
    <t>STKS</t>
  </si>
  <si>
    <t>STNG</t>
  </si>
  <si>
    <t>STOK</t>
  </si>
  <si>
    <t>STON</t>
  </si>
  <si>
    <t>STRA</t>
  </si>
  <si>
    <t>STRL</t>
  </si>
  <si>
    <t>STRO</t>
  </si>
  <si>
    <t>STTK</t>
  </si>
  <si>
    <t>STXS</t>
  </si>
  <si>
    <t>SUM</t>
  </si>
  <si>
    <t>SUMO</t>
  </si>
  <si>
    <t>SUPN</t>
  </si>
  <si>
    <t>SURF</t>
  </si>
  <si>
    <t>SVC</t>
  </si>
  <si>
    <t>SWAV</t>
  </si>
  <si>
    <t>SWBI</t>
  </si>
  <si>
    <t>SWIM</t>
  </si>
  <si>
    <t>SWM</t>
  </si>
  <si>
    <t>SWN</t>
  </si>
  <si>
    <t>SWTX</t>
  </si>
  <si>
    <t>SWX</t>
  </si>
  <si>
    <t>SXC</t>
  </si>
  <si>
    <t>SXI</t>
  </si>
  <si>
    <t>SXT</t>
  </si>
  <si>
    <t>SYBT</t>
  </si>
  <si>
    <t>SYNA</t>
  </si>
  <si>
    <t>SYRS</t>
  </si>
  <si>
    <t>TA</t>
  </si>
  <si>
    <t>TALO</t>
  </si>
  <si>
    <t>TALS</t>
  </si>
  <si>
    <t>TARS</t>
  </si>
  <si>
    <t>TAST</t>
  </si>
  <si>
    <t>TBBK</t>
  </si>
  <si>
    <t>TBI</t>
  </si>
  <si>
    <t>TBK</t>
  </si>
  <si>
    <t>TBPH</t>
  </si>
  <si>
    <t>TCBI</t>
  </si>
  <si>
    <t>TCBK</t>
  </si>
  <si>
    <t>TCBX</t>
  </si>
  <si>
    <t>TCMD</t>
  </si>
  <si>
    <t>TCRR</t>
  </si>
  <si>
    <t>TCRT</t>
  </si>
  <si>
    <t>TCS</t>
  </si>
  <si>
    <t>TCX</t>
  </si>
  <si>
    <t>TDS</t>
  </si>
  <si>
    <t>TDW</t>
  </si>
  <si>
    <t>TELL</t>
  </si>
  <si>
    <t>TEN</t>
  </si>
  <si>
    <t>TENB</t>
  </si>
  <si>
    <t>TERN</t>
  </si>
  <si>
    <t>TEX</t>
  </si>
  <si>
    <t>TG</t>
  </si>
  <si>
    <t>TGH</t>
  </si>
  <si>
    <t>TGI</t>
  </si>
  <si>
    <t>TGNA</t>
  </si>
  <si>
    <t>TGTX</t>
  </si>
  <si>
    <t>TH</t>
  </si>
  <si>
    <t>THC</t>
  </si>
  <si>
    <t>THFF</t>
  </si>
  <si>
    <t>THR</t>
  </si>
  <si>
    <t>THRM</t>
  </si>
  <si>
    <t>THRX</t>
  </si>
  <si>
    <t>THRY</t>
  </si>
  <si>
    <t>THS</t>
  </si>
  <si>
    <t>TIG</t>
  </si>
  <si>
    <t>TIL</t>
  </si>
  <si>
    <t>TILE</t>
  </si>
  <si>
    <t>TIPT</t>
  </si>
  <si>
    <t>TISI</t>
  </si>
  <si>
    <t>TITN</t>
  </si>
  <si>
    <t>TK</t>
  </si>
  <si>
    <t>TKNO</t>
  </si>
  <si>
    <t>TLIS</t>
  </si>
  <si>
    <t>TLS</t>
  </si>
  <si>
    <t>TLYS</t>
  </si>
  <si>
    <t>TMCI</t>
  </si>
  <si>
    <t>TMDX</t>
  </si>
  <si>
    <t>TMHC</t>
  </si>
  <si>
    <t>TMP</t>
  </si>
  <si>
    <t>TMST</t>
  </si>
  <si>
    <t>TNC</t>
  </si>
  <si>
    <t>TNET</t>
  </si>
  <si>
    <t>TNK</t>
  </si>
  <si>
    <t>TNXP</t>
  </si>
  <si>
    <t>TNYA</t>
  </si>
  <si>
    <t>TOWN</t>
  </si>
  <si>
    <t>TPB</t>
  </si>
  <si>
    <t>TPC</t>
  </si>
  <si>
    <t>TPH</t>
  </si>
  <si>
    <t>TPIC</t>
  </si>
  <si>
    <t>TPTX</t>
  </si>
  <si>
    <t>TR</t>
  </si>
  <si>
    <t>TRC</t>
  </si>
  <si>
    <t>TRDA</t>
  </si>
  <si>
    <t>TREE</t>
  </si>
  <si>
    <t>TRHC</t>
  </si>
  <si>
    <t>TRMK</t>
  </si>
  <si>
    <t>TRN</t>
  </si>
  <si>
    <t>TRNO</t>
  </si>
  <si>
    <t>TRNS</t>
  </si>
  <si>
    <t>TROX</t>
  </si>
  <si>
    <t>TRS</t>
  </si>
  <si>
    <t>TRST</t>
  </si>
  <si>
    <t>TRTN</t>
  </si>
  <si>
    <t>TRTX</t>
  </si>
  <si>
    <t>TRUP</t>
  </si>
  <si>
    <t>TRVN</t>
  </si>
  <si>
    <t>TSAT</t>
  </si>
  <si>
    <t>TSC</t>
  </si>
  <si>
    <t>TSE</t>
  </si>
  <si>
    <t>TSHA</t>
  </si>
  <si>
    <t>TSVT</t>
  </si>
  <si>
    <t>TTCF</t>
  </si>
  <si>
    <t>TTEC</t>
  </si>
  <si>
    <t>TTEK</t>
  </si>
  <si>
    <t>TTGT</t>
  </si>
  <si>
    <t>TTI</t>
  </si>
  <si>
    <t>TTMI</t>
  </si>
  <si>
    <t>TUP</t>
  </si>
  <si>
    <t>TVTX</t>
  </si>
  <si>
    <t>TVTY</t>
  </si>
  <si>
    <t>TWI</t>
  </si>
  <si>
    <t>TWNK</t>
  </si>
  <si>
    <t>TWO</t>
  </si>
  <si>
    <t>TWOU</t>
  </si>
  <si>
    <t>TWST</t>
  </si>
  <si>
    <t>TXMD</t>
  </si>
  <si>
    <t>TXRH</t>
  </si>
  <si>
    <t>TYRA</t>
  </si>
  <si>
    <t>UAVS</t>
  </si>
  <si>
    <t>UBA</t>
  </si>
  <si>
    <t>UBSI</t>
  </si>
  <si>
    <t>UCBI</t>
  </si>
  <si>
    <t>UCTT</t>
  </si>
  <si>
    <t>UDMY</t>
  </si>
  <si>
    <t>UE</t>
  </si>
  <si>
    <t>UEC</t>
  </si>
  <si>
    <t>UEIC</t>
  </si>
  <si>
    <t>UFCS</t>
  </si>
  <si>
    <t>UFI</t>
  </si>
  <si>
    <t>UFPI</t>
  </si>
  <si>
    <t>UFPT</t>
  </si>
  <si>
    <t>UHT</t>
  </si>
  <si>
    <t>UIHC</t>
  </si>
  <si>
    <t>UIS</t>
  </si>
  <si>
    <t>ULCC</t>
  </si>
  <si>
    <t>ULH</t>
  </si>
  <si>
    <t>UMBF</t>
  </si>
  <si>
    <t>UMH</t>
  </si>
  <si>
    <t>UNF</t>
  </si>
  <si>
    <t>UNFI</t>
  </si>
  <si>
    <t>UNIT</t>
  </si>
  <si>
    <t>UPLD</t>
  </si>
  <si>
    <t>UPWK</t>
  </si>
  <si>
    <t>URBN</t>
  </si>
  <si>
    <t>URG</t>
  </si>
  <si>
    <t>URGN</t>
  </si>
  <si>
    <t>USD</t>
  </si>
  <si>
    <t>USER</t>
  </si>
  <si>
    <t>USLM</t>
  </si>
  <si>
    <t>USM</t>
  </si>
  <si>
    <t>USNA</t>
  </si>
  <si>
    <t>USPH</t>
  </si>
  <si>
    <t>USX</t>
  </si>
  <si>
    <t>UTL</t>
  </si>
  <si>
    <t>UTMD</t>
  </si>
  <si>
    <t>UTZ</t>
  </si>
  <si>
    <t>UUUU</t>
  </si>
  <si>
    <t>UVE</t>
  </si>
  <si>
    <t>UVSP</t>
  </si>
  <si>
    <t>UVV</t>
  </si>
  <si>
    <t>VALU</t>
  </si>
  <si>
    <t>VAPO</t>
  </si>
  <si>
    <t>VATE</t>
  </si>
  <si>
    <t>VBIV</t>
  </si>
  <si>
    <t>VBTX</t>
  </si>
  <si>
    <t>VC</t>
  </si>
  <si>
    <t>VCEL</t>
  </si>
  <si>
    <t>VCYT</t>
  </si>
  <si>
    <t>VEC</t>
  </si>
  <si>
    <t>VECO</t>
  </si>
  <si>
    <t>VEL</t>
  </si>
  <si>
    <t>VERA</t>
  </si>
  <si>
    <t>VERI</t>
  </si>
  <si>
    <t>VERU</t>
  </si>
  <si>
    <t>VERV</t>
  </si>
  <si>
    <t>VG</t>
  </si>
  <si>
    <t>VGR</t>
  </si>
  <si>
    <t>VHC</t>
  </si>
  <si>
    <t>VHI</t>
  </si>
  <si>
    <t>VIA</t>
  </si>
  <si>
    <t>VIAV</t>
  </si>
  <si>
    <t>VICR</t>
  </si>
  <si>
    <t>VIEW</t>
  </si>
  <si>
    <t>VIGL</t>
  </si>
  <si>
    <t>VINC</t>
  </si>
  <si>
    <t>VIR</t>
  </si>
  <si>
    <t>VIRX</t>
  </si>
  <si>
    <t>VITL</t>
  </si>
  <si>
    <t>VIVO</t>
  </si>
  <si>
    <t>VKTX</t>
  </si>
  <si>
    <t>VLDR</t>
  </si>
  <si>
    <t>VLGEA</t>
  </si>
  <si>
    <t>VLY</t>
  </si>
  <si>
    <t>VMD</t>
  </si>
  <si>
    <t>VNDA</t>
  </si>
  <si>
    <t>VOR</t>
  </si>
  <si>
    <t>VOXX</t>
  </si>
  <si>
    <t>VPG</t>
  </si>
  <si>
    <t>VRA</t>
  </si>
  <si>
    <t>VRAY</t>
  </si>
  <si>
    <t>VRCA</t>
  </si>
  <si>
    <t>VRE</t>
  </si>
  <si>
    <t>VREX</t>
  </si>
  <si>
    <t>VRNS</t>
  </si>
  <si>
    <t>VRNT</t>
  </si>
  <si>
    <t>VRRM</t>
  </si>
  <si>
    <t>VRTS</t>
  </si>
  <si>
    <t>VRTV</t>
  </si>
  <si>
    <t>VSEC</t>
  </si>
  <si>
    <t>VSH</t>
  </si>
  <si>
    <t>VSTM</t>
  </si>
  <si>
    <t>VSTO</t>
  </si>
  <si>
    <t>VTGN</t>
  </si>
  <si>
    <t>VTOL</t>
  </si>
  <si>
    <t>VTYX</t>
  </si>
  <si>
    <t>VUZI</t>
  </si>
  <si>
    <t>VVI</t>
  </si>
  <si>
    <t>VVNT</t>
  </si>
  <si>
    <t>VXRT</t>
  </si>
  <si>
    <t>WABC</t>
  </si>
  <si>
    <t>WAFD</t>
  </si>
  <si>
    <t>WASH</t>
  </si>
  <si>
    <t>WBT</t>
  </si>
  <si>
    <t>WCC</t>
  </si>
  <si>
    <t>WD</t>
  </si>
  <si>
    <t>WDFC</t>
  </si>
  <si>
    <t>WEBR</t>
  </si>
  <si>
    <t>WERN</t>
  </si>
  <si>
    <t>WETF</t>
  </si>
  <si>
    <t>WGO</t>
  </si>
  <si>
    <t>WHD</t>
  </si>
  <si>
    <t>WINA</t>
  </si>
  <si>
    <t>WING</t>
  </si>
  <si>
    <t>WIRE</t>
  </si>
  <si>
    <t>WK</t>
  </si>
  <si>
    <t>WKHS</t>
  </si>
  <si>
    <t>WLDN</t>
  </si>
  <si>
    <t>WLFC</t>
  </si>
  <si>
    <t>WLL</t>
  </si>
  <si>
    <t>WLLAW</t>
  </si>
  <si>
    <t>WLLBW</t>
  </si>
  <si>
    <t>WLY</t>
  </si>
  <si>
    <t>WMK</t>
  </si>
  <si>
    <t>WNC</t>
  </si>
  <si>
    <t>WOR</t>
  </si>
  <si>
    <t>WOW</t>
  </si>
  <si>
    <t>WRE</t>
  </si>
  <si>
    <t>WRLD</t>
  </si>
  <si>
    <t>WSBC</t>
  </si>
  <si>
    <t>WSBF</t>
  </si>
  <si>
    <t>WSC</t>
  </si>
  <si>
    <t>WSFS</t>
  </si>
  <si>
    <t>WSR</t>
  </si>
  <si>
    <t>WTBA</t>
  </si>
  <si>
    <t>WTI</t>
  </si>
  <si>
    <t>WTS</t>
  </si>
  <si>
    <t>WTTR</t>
  </si>
  <si>
    <t>WVE</t>
  </si>
  <si>
    <t>WW</t>
  </si>
  <si>
    <t>WWW</t>
  </si>
  <si>
    <t>XBIT</t>
  </si>
  <si>
    <t>XENT</t>
  </si>
  <si>
    <t>XGN</t>
  </si>
  <si>
    <t>XHR</t>
  </si>
  <si>
    <t>XL</t>
  </si>
  <si>
    <t>XLO</t>
  </si>
  <si>
    <t>XMTR</t>
  </si>
  <si>
    <t>XNCR</t>
  </si>
  <si>
    <t>XOMA</t>
  </si>
  <si>
    <t>XPEL</t>
  </si>
  <si>
    <t>XPER</t>
  </si>
  <si>
    <t>XPOF</t>
  </si>
  <si>
    <t>XPRO</t>
  </si>
  <si>
    <t>XXII</t>
  </si>
  <si>
    <t>YELL</t>
  </si>
  <si>
    <t>YELP</t>
  </si>
  <si>
    <t>YEXT</t>
  </si>
  <si>
    <t>YMAB</t>
  </si>
  <si>
    <t>YORW</t>
  </si>
  <si>
    <t>ZD</t>
  </si>
  <si>
    <t>ZEUS</t>
  </si>
  <si>
    <t>ZGNX</t>
  </si>
  <si>
    <t>ZNTL</t>
  </si>
  <si>
    <t>ZUMZ</t>
  </si>
  <si>
    <t>ZUO</t>
  </si>
  <si>
    <t>ZVIA</t>
  </si>
  <si>
    <t>ZWS</t>
  </si>
  <si>
    <t>ZY</t>
  </si>
  <si>
    <t>ZYXI</t>
  </si>
  <si>
    <t>Technology</t>
  </si>
  <si>
    <t>N/A</t>
  </si>
  <si>
    <t>Healthcare</t>
  </si>
  <si>
    <t>Financial Services</t>
  </si>
  <si>
    <t>Industrials</t>
  </si>
  <si>
    <t>Basic Materials</t>
  </si>
  <si>
    <t>Energy</t>
  </si>
  <si>
    <t>Consumer Cyclical</t>
  </si>
  <si>
    <t>Consumer Defensive</t>
  </si>
  <si>
    <t>Real Estate</t>
  </si>
  <si>
    <t>Utilities</t>
  </si>
  <si>
    <t>Communication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</si>
  <si>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</si>
  <si>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</si>
  <si>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</si>
  <si>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</si>
  <si>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</si>
  <si>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</si>
  <si>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</si>
  <si>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</si>
  <si>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</si>
  <si>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2022-10-11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</si>
</sst>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9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HYPERLINK("https://www.suredividend.com/sure-analysis-research-database/","AMKOR Technology Inc.")</f>
        <v>0</v>
      </c>
      <c r="C2" t="s">
        <v>1920</v>
      </c>
      <c r="D2">
        <v>17.35</v>
      </c>
      <c r="E2">
        <v>0.011484991019616</v>
      </c>
      <c r="H2">
        <v>0.199264594190341</v>
      </c>
      <c r="I2">
        <v>4247.940879</v>
      </c>
      <c r="J2">
        <v>6.131368533647219</v>
      </c>
      <c r="K2">
        <v>0.0706612036135961</v>
      </c>
      <c r="L2">
        <v>1.623403412587464</v>
      </c>
      <c r="M2">
        <v>26.45</v>
      </c>
      <c r="N2">
        <v>14.85</v>
      </c>
    </row>
    <row r="3" spans="1:14">
      <c r="A3" s="1" t="s">
        <v>15</v>
      </c>
      <c r="B3">
        <f>HYPERLINK("https://www.suredividend.com/sure-analysis-research-database/","Amylyx Pharmaceuticals Inc")</f>
        <v>0</v>
      </c>
      <c r="C3" t="s">
        <v>1921</v>
      </c>
      <c r="D3">
        <v>34.16</v>
      </c>
      <c r="E3">
        <v>0</v>
      </c>
      <c r="H3">
        <v>0</v>
      </c>
      <c r="I3">
        <v>1999.495</v>
      </c>
      <c r="J3">
        <v>0</v>
      </c>
      <c r="K3" t="s">
        <v>1921</v>
      </c>
      <c r="M3">
        <v>35.48</v>
      </c>
      <c r="N3">
        <v>6.51</v>
      </c>
    </row>
    <row r="4" spans="1:14">
      <c r="A4" s="1" t="s">
        <v>16</v>
      </c>
      <c r="B4">
        <f>HYPERLINK("https://www.suredividend.com/sure-analysis-research-database/","AMN Healthcare Services Inc.")</f>
        <v>0</v>
      </c>
      <c r="C4" t="s">
        <v>1922</v>
      </c>
      <c r="D4">
        <v>113.06</v>
      </c>
      <c r="E4">
        <v>0</v>
      </c>
      <c r="H4">
        <v>0</v>
      </c>
      <c r="I4">
        <v>4892.397103</v>
      </c>
      <c r="J4">
        <v>10.63453618618057</v>
      </c>
      <c r="K4">
        <v>0</v>
      </c>
      <c r="L4">
        <v>0.7732578211165091</v>
      </c>
      <c r="M4">
        <v>129.12</v>
      </c>
      <c r="N4">
        <v>82.76000000000001</v>
      </c>
    </row>
    <row r="5" spans="1:14">
      <c r="A5" s="1" t="s">
        <v>17</v>
      </c>
      <c r="B5">
        <f>HYPERLINK("https://www.suredividend.com/sure-analysis-research-database/","American National Bankshares Inc.")</f>
        <v>0</v>
      </c>
      <c r="C5" t="s">
        <v>1923</v>
      </c>
      <c r="D5">
        <v>33.57</v>
      </c>
      <c r="E5">
        <v>0.032960145641814</v>
      </c>
      <c r="F5">
        <v>0.03703703703703698</v>
      </c>
      <c r="G5">
        <v>0.02292455662603032</v>
      </c>
      <c r="H5">
        <v>1.106472089195704</v>
      </c>
      <c r="I5">
        <v>357.98202</v>
      </c>
      <c r="J5">
        <v>9.2717435990676</v>
      </c>
      <c r="K5">
        <v>0.3082094955976892</v>
      </c>
      <c r="L5">
        <v>0.46686649787651</v>
      </c>
      <c r="M5">
        <v>39.1</v>
      </c>
      <c r="N5">
        <v>31.62</v>
      </c>
    </row>
    <row r="6" spans="1:14">
      <c r="A6" s="1" t="s">
        <v>18</v>
      </c>
      <c r="B6">
        <f>HYPERLINK("https://www.suredividend.com/sure-analysis-research-database/","Allied Motion Technologies Inc")</f>
        <v>0</v>
      </c>
      <c r="C6" t="s">
        <v>1920</v>
      </c>
      <c r="D6">
        <v>26.44</v>
      </c>
      <c r="E6">
        <v>0.003777426116758</v>
      </c>
      <c r="F6">
        <v>0</v>
      </c>
      <c r="G6">
        <v>0</v>
      </c>
      <c r="H6">
        <v>0.09987514652710601</v>
      </c>
      <c r="I6">
        <v>422.465221</v>
      </c>
      <c r="J6">
        <v>0</v>
      </c>
      <c r="K6" t="s">
        <v>1921</v>
      </c>
      <c r="L6">
        <v>1.055474792600718</v>
      </c>
      <c r="M6">
        <v>44.56</v>
      </c>
      <c r="N6">
        <v>21.13</v>
      </c>
    </row>
    <row r="7" spans="1:14">
      <c r="A7" s="1" t="s">
        <v>19</v>
      </c>
      <c r="B7">
        <f>HYPERLINK("https://www.suredividend.com/sure-analysis-research-database/","Ampio Pharmaceuticals Inc")</f>
        <v>0</v>
      </c>
      <c r="C7" t="s">
        <v>1922</v>
      </c>
      <c r="D7">
        <v>0.0263</v>
      </c>
      <c r="E7">
        <v>0</v>
      </c>
      <c r="H7">
        <v>0</v>
      </c>
      <c r="I7">
        <v>5.951345</v>
      </c>
      <c r="J7">
        <v>0</v>
      </c>
      <c r="K7" t="s">
        <v>1921</v>
      </c>
      <c r="M7">
        <v>0.04</v>
      </c>
      <c r="N7">
        <v>0.016</v>
      </c>
    </row>
    <row r="8" spans="1:14">
      <c r="A8" s="1" t="s">
        <v>20</v>
      </c>
      <c r="B8">
        <f>HYPERLINK("https://www.suredividend.com/sure-analysis-research-database/","Amphastar Pharmaceuticals Inc")</f>
        <v>0</v>
      </c>
      <c r="C8" t="s">
        <v>1922</v>
      </c>
      <c r="D8">
        <v>28.02</v>
      </c>
      <c r="E8">
        <v>0</v>
      </c>
      <c r="H8">
        <v>0</v>
      </c>
      <c r="I8">
        <v>1373.405119</v>
      </c>
      <c r="J8">
        <v>15.10780379332725</v>
      </c>
      <c r="K8">
        <v>0</v>
      </c>
      <c r="L8">
        <v>0.454392617037182</v>
      </c>
      <c r="M8">
        <v>44.46</v>
      </c>
      <c r="N8">
        <v>18.12</v>
      </c>
    </row>
    <row r="9" spans="1:14">
      <c r="A9" s="1" t="s">
        <v>21</v>
      </c>
      <c r="B9">
        <f>HYPERLINK("https://www.suredividend.com/sure-analysis-research-database/","Ameresco Inc.")</f>
        <v>0</v>
      </c>
      <c r="C9" t="s">
        <v>1924</v>
      </c>
      <c r="D9">
        <v>62.35</v>
      </c>
      <c r="E9">
        <v>0</v>
      </c>
      <c r="H9">
        <v>0</v>
      </c>
      <c r="I9">
        <v>2107.988905</v>
      </c>
      <c r="J9">
        <v>0</v>
      </c>
      <c r="K9" t="s">
        <v>1921</v>
      </c>
      <c r="L9">
        <v>1.665442652973335</v>
      </c>
      <c r="M9">
        <v>101.86</v>
      </c>
      <c r="N9">
        <v>40.73</v>
      </c>
    </row>
    <row r="10" spans="1:14">
      <c r="A10" s="1" t="s">
        <v>22</v>
      </c>
      <c r="B10">
        <f>HYPERLINK("https://www.suredividend.com/sure-analysis-research-database/","A-Mark Precious Metals Inc")</f>
        <v>0</v>
      </c>
      <c r="C10" t="s">
        <v>1923</v>
      </c>
      <c r="D10">
        <v>28</v>
      </c>
      <c r="E10">
        <v>0.007142857249294</v>
      </c>
      <c r="H10">
        <v>0.200000002980232</v>
      </c>
      <c r="I10">
        <v>654.730188</v>
      </c>
      <c r="J10">
        <v>0</v>
      </c>
      <c r="K10" t="s">
        <v>1921</v>
      </c>
      <c r="L10">
        <v>1.099187975312614</v>
      </c>
      <c r="M10">
        <v>42.8</v>
      </c>
      <c r="N10">
        <v>23.55</v>
      </c>
    </row>
    <row r="11" spans="1:14">
      <c r="A11" s="1" t="s">
        <v>23</v>
      </c>
      <c r="B11">
        <f>HYPERLINK("https://www.suredividend.com/sure-analysis-research-database/","Amyris Inc")</f>
        <v>0</v>
      </c>
      <c r="C11" t="s">
        <v>1925</v>
      </c>
      <c r="D11">
        <v>2.51</v>
      </c>
      <c r="E11">
        <v>0</v>
      </c>
      <c r="H11">
        <v>0</v>
      </c>
      <c r="I11">
        <v>811.832272</v>
      </c>
      <c r="J11">
        <v>0</v>
      </c>
      <c r="K11" t="s">
        <v>1921</v>
      </c>
      <c r="L11">
        <v>3.301808017204661</v>
      </c>
      <c r="M11">
        <v>15.12</v>
      </c>
      <c r="N11">
        <v>1.47</v>
      </c>
    </row>
    <row r="12" spans="1:14">
      <c r="A12" s="1" t="s">
        <v>24</v>
      </c>
      <c r="B12">
        <f>HYPERLINK("https://www.suredividend.com/sure-analysis-research-database/","Amneal Pharmaceuticals Inc")</f>
        <v>0</v>
      </c>
      <c r="C12" t="s">
        <v>1922</v>
      </c>
      <c r="D12">
        <v>2.03</v>
      </c>
      <c r="E12">
        <v>0</v>
      </c>
      <c r="H12">
        <v>0</v>
      </c>
      <c r="I12">
        <v>307.359326</v>
      </c>
      <c r="J12" t="s">
        <v>1921</v>
      </c>
      <c r="K12">
        <v>-0</v>
      </c>
      <c r="L12">
        <v>0.8973886569375491</v>
      </c>
      <c r="M12">
        <v>5.99</v>
      </c>
      <c r="N12">
        <v>2</v>
      </c>
    </row>
    <row r="13" spans="1:14">
      <c r="A13" s="1" t="s">
        <v>25</v>
      </c>
      <c r="B13">
        <f>HYPERLINK("https://www.suredividend.com/sure-analysis-research-database/","American Superconductor Corp.")</f>
        <v>0</v>
      </c>
      <c r="C13" t="s">
        <v>1924</v>
      </c>
      <c r="D13">
        <v>3.98</v>
      </c>
      <c r="E13">
        <v>0</v>
      </c>
      <c r="H13">
        <v>0</v>
      </c>
      <c r="I13">
        <v>113.550188</v>
      </c>
      <c r="J13" t="s">
        <v>1921</v>
      </c>
      <c r="K13">
        <v>-0</v>
      </c>
      <c r="L13">
        <v>1.624631471884942</v>
      </c>
      <c r="M13">
        <v>19.36</v>
      </c>
      <c r="N13">
        <v>3.95</v>
      </c>
    </row>
    <row r="14" spans="1:14">
      <c r="A14" s="1" t="s">
        <v>26</v>
      </c>
      <c r="B14">
        <f>HYPERLINK("https://www.suredividend.com/sure-analysis-research-database/","Amerisafe Inc")</f>
        <v>0</v>
      </c>
      <c r="C14" t="s">
        <v>1923</v>
      </c>
      <c r="D14">
        <v>47.05</v>
      </c>
      <c r="E14">
        <v>0.025687029763475</v>
      </c>
      <c r="F14">
        <v>-0.9225</v>
      </c>
      <c r="G14">
        <v>0.07099588603959828</v>
      </c>
      <c r="H14">
        <v>1.208574750371511</v>
      </c>
      <c r="I14">
        <v>907.3112589999999</v>
      </c>
      <c r="J14">
        <v>19.66430990463806</v>
      </c>
      <c r="K14">
        <v>0.5078045169628198</v>
      </c>
      <c r="L14">
        <v>0.468935776256065</v>
      </c>
      <c r="M14">
        <v>59.34</v>
      </c>
      <c r="N14">
        <v>43.22</v>
      </c>
    </row>
    <row r="15" spans="1:14">
      <c r="A15" s="1" t="s">
        <v>27</v>
      </c>
      <c r="B15">
        <f>HYPERLINK("https://www.suredividend.com/sure-analysis-research-database/","American Software Inc.")</f>
        <v>0</v>
      </c>
      <c r="C15" t="s">
        <v>1920</v>
      </c>
      <c r="D15">
        <v>15.49</v>
      </c>
      <c r="E15">
        <v>0.028154348657055</v>
      </c>
      <c r="F15">
        <v>0</v>
      </c>
      <c r="G15">
        <v>0</v>
      </c>
      <c r="H15">
        <v>0.436110860697794</v>
      </c>
      <c r="I15">
        <v>493.744726</v>
      </c>
      <c r="J15">
        <v>0</v>
      </c>
      <c r="K15" t="s">
        <v>1921</v>
      </c>
      <c r="L15">
        <v>1.037438910666285</v>
      </c>
      <c r="M15">
        <v>32.57</v>
      </c>
      <c r="N15">
        <v>14.52</v>
      </c>
    </row>
    <row r="16" spans="1:14">
      <c r="A16" s="1" t="s">
        <v>28</v>
      </c>
      <c r="B16">
        <f>HYPERLINK("https://www.suredividend.com/sure-analysis-research-database/","Amerant Bancorp Inc")</f>
        <v>0</v>
      </c>
      <c r="C16" t="s">
        <v>1923</v>
      </c>
      <c r="D16">
        <v>25.22</v>
      </c>
      <c r="E16">
        <v>0.013030118542799</v>
      </c>
      <c r="H16">
        <v>0.328619589649398</v>
      </c>
      <c r="I16">
        <v>851.845322</v>
      </c>
      <c r="J16">
        <v>0</v>
      </c>
      <c r="K16" t="s">
        <v>1921</v>
      </c>
      <c r="L16">
        <v>0.610161506073155</v>
      </c>
      <c r="M16">
        <v>36.33</v>
      </c>
      <c r="N16">
        <v>24.48</v>
      </c>
    </row>
    <row r="17" spans="1:14">
      <c r="A17" s="1" t="s">
        <v>29</v>
      </c>
      <c r="B17">
        <f>HYPERLINK("https://www.suredividend.com/sure-analysis-research-database/","Applied Molecular Transport Inc")</f>
        <v>0</v>
      </c>
      <c r="C17" t="s">
        <v>1921</v>
      </c>
      <c r="D17">
        <v>1.12</v>
      </c>
      <c r="E17">
        <v>0</v>
      </c>
      <c r="H17">
        <v>0</v>
      </c>
      <c r="I17">
        <v>43.5687</v>
      </c>
      <c r="J17">
        <v>0</v>
      </c>
      <c r="K17" t="s">
        <v>1921</v>
      </c>
      <c r="L17">
        <v>1.907517063815382</v>
      </c>
      <c r="M17">
        <v>25.54</v>
      </c>
      <c r="N17">
        <v>0.8501000000000001</v>
      </c>
    </row>
    <row r="18" spans="1:14">
      <c r="A18" s="1" t="s">
        <v>30</v>
      </c>
      <c r="B18">
        <f>HYPERLINK("https://www.suredividend.com/sure-analysis-research-database/","Aemetis Inc")</f>
        <v>0</v>
      </c>
      <c r="C18" t="s">
        <v>1926</v>
      </c>
      <c r="D18">
        <v>6.22</v>
      </c>
      <c r="E18">
        <v>0</v>
      </c>
      <c r="H18">
        <v>0</v>
      </c>
      <c r="I18">
        <v>215.113768</v>
      </c>
      <c r="J18">
        <v>0</v>
      </c>
      <c r="K18" t="s">
        <v>1921</v>
      </c>
      <c r="L18">
        <v>2.331363184772517</v>
      </c>
      <c r="M18">
        <v>23.33</v>
      </c>
      <c r="N18">
        <v>4.45</v>
      </c>
    </row>
    <row r="19" spans="1:14">
      <c r="A19" s="1" t="s">
        <v>31</v>
      </c>
      <c r="B19">
        <f>HYPERLINK("https://www.suredividend.com/sure-analysis-research-database/","American Woodmark Corp.")</f>
        <v>0</v>
      </c>
      <c r="C19" t="s">
        <v>1927</v>
      </c>
      <c r="D19">
        <v>45.82</v>
      </c>
      <c r="E19">
        <v>0</v>
      </c>
      <c r="H19">
        <v>0</v>
      </c>
      <c r="I19">
        <v>761.612113</v>
      </c>
      <c r="J19" t="s">
        <v>1921</v>
      </c>
      <c r="K19">
        <v>-0</v>
      </c>
      <c r="L19">
        <v>1.128337631771941</v>
      </c>
      <c r="M19">
        <v>76.36</v>
      </c>
      <c r="N19">
        <v>40.7</v>
      </c>
    </row>
    <row r="20" spans="1:14">
      <c r="A20" s="1" t="s">
        <v>32</v>
      </c>
      <c r="B20">
        <f>HYPERLINK("https://www.suredividend.com/sure-analysis-research-database/","American Well Corporation")</f>
        <v>0</v>
      </c>
      <c r="C20" t="s">
        <v>1921</v>
      </c>
      <c r="D20">
        <v>3.82</v>
      </c>
      <c r="E20">
        <v>0</v>
      </c>
      <c r="H20">
        <v>0</v>
      </c>
      <c r="I20">
        <v>919.175127</v>
      </c>
      <c r="J20">
        <v>0</v>
      </c>
      <c r="K20" t="s">
        <v>1921</v>
      </c>
      <c r="L20">
        <v>1.555269313618258</v>
      </c>
      <c r="M20">
        <v>9.699999999999999</v>
      </c>
      <c r="N20">
        <v>2.52</v>
      </c>
    </row>
    <row r="21" spans="1:14">
      <c r="A21" s="1" t="s">
        <v>33</v>
      </c>
      <c r="B21">
        <f>HYPERLINK("https://www.suredividend.com/sure-analysis-research-database/","AnaptysBio Inc")</f>
        <v>0</v>
      </c>
      <c r="C21" t="s">
        <v>1922</v>
      </c>
      <c r="D21">
        <v>25.74</v>
      </c>
      <c r="E21">
        <v>0</v>
      </c>
      <c r="H21">
        <v>0</v>
      </c>
      <c r="I21">
        <v>726.8773169999999</v>
      </c>
      <c r="J21" t="s">
        <v>1921</v>
      </c>
      <c r="K21">
        <v>-0</v>
      </c>
      <c r="L21">
        <v>1.047721607121402</v>
      </c>
      <c r="M21">
        <v>37.89</v>
      </c>
      <c r="N21">
        <v>18.2</v>
      </c>
    </row>
    <row r="22" spans="1:14">
      <c r="A22" s="1" t="s">
        <v>34</v>
      </c>
      <c r="B22">
        <f>HYPERLINK("https://www.suredividend.com/sure-analysis-research-database/","American National Group Inc")</f>
        <v>0</v>
      </c>
      <c r="C22" t="s">
        <v>1923</v>
      </c>
      <c r="D22">
        <v>190.02</v>
      </c>
      <c r="E22">
        <v>0</v>
      </c>
      <c r="H22">
        <v>2.459999978542328</v>
      </c>
      <c r="I22">
        <v>0</v>
      </c>
      <c r="J22">
        <v>0</v>
      </c>
      <c r="K22">
        <v>0.1036662443549232</v>
      </c>
    </row>
    <row r="23" spans="1:14">
      <c r="A23" s="1" t="s">
        <v>35</v>
      </c>
      <c r="B23">
        <f>HYPERLINK("https://www.suredividend.com/sure-analysis-ANDE/","Andersons Inc.")</f>
        <v>0</v>
      </c>
      <c r="C23" t="s">
        <v>1928</v>
      </c>
      <c r="D23">
        <v>32.55</v>
      </c>
      <c r="E23">
        <v>0.02211981566820276</v>
      </c>
      <c r="F23">
        <v>0.02857142857142847</v>
      </c>
      <c r="G23">
        <v>0.01755457717558762</v>
      </c>
      <c r="H23">
        <v>0.7142473364531401</v>
      </c>
      <c r="I23">
        <v>1102.172751</v>
      </c>
      <c r="J23">
        <v>8.433618623745103</v>
      </c>
      <c r="K23">
        <v>0.186975742527</v>
      </c>
      <c r="L23">
        <v>0.5368585302675271</v>
      </c>
      <c r="M23">
        <v>58.33</v>
      </c>
      <c r="N23">
        <v>29.18</v>
      </c>
    </row>
    <row r="24" spans="1:14">
      <c r="A24" s="1" t="s">
        <v>36</v>
      </c>
      <c r="B24">
        <f>HYPERLINK("https://www.suredividend.com/sure-analysis-research-database/","Abercrombie &amp; Fitch Co.")</f>
        <v>0</v>
      </c>
      <c r="C24" t="s">
        <v>1927</v>
      </c>
      <c r="D24">
        <v>15.44</v>
      </c>
      <c r="E24">
        <v>0</v>
      </c>
      <c r="H24">
        <v>0</v>
      </c>
      <c r="I24">
        <v>763.563877</v>
      </c>
      <c r="J24">
        <v>9.611952282380191</v>
      </c>
      <c r="K24">
        <v>0</v>
      </c>
      <c r="L24">
        <v>1.364182611441484</v>
      </c>
      <c r="M24">
        <v>48.97</v>
      </c>
      <c r="N24">
        <v>14.02</v>
      </c>
    </row>
    <row r="25" spans="1:14">
      <c r="A25" s="1" t="s">
        <v>37</v>
      </c>
      <c r="B25">
        <f>HYPERLINK("https://www.suredividend.com/sure-analysis-research-database/","Angion Biomedica Corp")</f>
        <v>0</v>
      </c>
      <c r="C25" t="s">
        <v>1921</v>
      </c>
      <c r="D25">
        <v>0.9456</v>
      </c>
      <c r="E25">
        <v>0</v>
      </c>
      <c r="H25">
        <v>0</v>
      </c>
      <c r="I25">
        <v>28.475173</v>
      </c>
      <c r="J25">
        <v>0</v>
      </c>
      <c r="K25" t="s">
        <v>1921</v>
      </c>
      <c r="L25">
        <v>1.353812465400978</v>
      </c>
      <c r="M25">
        <v>9.35</v>
      </c>
      <c r="N25">
        <v>0.87</v>
      </c>
    </row>
    <row r="26" spans="1:14">
      <c r="A26" s="1" t="s">
        <v>38</v>
      </c>
      <c r="B26">
        <f>HYPERLINK("https://www.suredividend.com/sure-analysis-research-database/","Angiodynamic Inc")</f>
        <v>0</v>
      </c>
      <c r="C26" t="s">
        <v>1922</v>
      </c>
      <c r="D26">
        <v>14.38</v>
      </c>
      <c r="E26">
        <v>0</v>
      </c>
      <c r="H26">
        <v>0</v>
      </c>
      <c r="I26">
        <v>562.369459</v>
      </c>
      <c r="J26" t="s">
        <v>1921</v>
      </c>
      <c r="K26">
        <v>-0</v>
      </c>
      <c r="L26">
        <v>1.117051624321775</v>
      </c>
      <c r="M26">
        <v>32</v>
      </c>
      <c r="N26">
        <v>14</v>
      </c>
    </row>
    <row r="27" spans="1:14">
      <c r="A27" s="1" t="s">
        <v>39</v>
      </c>
      <c r="B27">
        <f>HYPERLINK("https://www.suredividend.com/sure-analysis-research-database/","Anika Therapeutics Inc.")</f>
        <v>0</v>
      </c>
      <c r="C27" t="s">
        <v>1922</v>
      </c>
      <c r="D27">
        <v>24.17</v>
      </c>
      <c r="E27">
        <v>0</v>
      </c>
      <c r="H27">
        <v>0</v>
      </c>
      <c r="I27">
        <v>352.880477</v>
      </c>
      <c r="J27" t="s">
        <v>1921</v>
      </c>
      <c r="K27">
        <v>-0</v>
      </c>
      <c r="L27">
        <v>0.7056243151259071</v>
      </c>
      <c r="M27">
        <v>45.81</v>
      </c>
      <c r="N27">
        <v>19.95</v>
      </c>
    </row>
    <row r="28" spans="1:14">
      <c r="A28" s="1" t="s">
        <v>40</v>
      </c>
      <c r="B28">
        <f>HYPERLINK("https://www.suredividend.com/sure-analysis-research-database/","ANI Pharmaceuticals Inc")</f>
        <v>0</v>
      </c>
      <c r="C28" t="s">
        <v>1922</v>
      </c>
      <c r="D28">
        <v>32.11</v>
      </c>
      <c r="E28">
        <v>0</v>
      </c>
      <c r="H28">
        <v>0</v>
      </c>
      <c r="I28">
        <v>559.549952</v>
      </c>
      <c r="J28" t="s">
        <v>1921</v>
      </c>
      <c r="K28">
        <v>-0</v>
      </c>
      <c r="L28">
        <v>0.7846819036261571</v>
      </c>
      <c r="M28">
        <v>60.23</v>
      </c>
      <c r="N28">
        <v>22.31</v>
      </c>
    </row>
    <row r="29" spans="1:14">
      <c r="A29" s="1" t="s">
        <v>41</v>
      </c>
      <c r="B29">
        <f>HYPERLINK("https://www.suredividend.com/sure-analysis-research-database/","Annexon Inc")</f>
        <v>0</v>
      </c>
      <c r="C29" t="s">
        <v>1921</v>
      </c>
      <c r="D29">
        <v>6.26</v>
      </c>
      <c r="E29">
        <v>0</v>
      </c>
      <c r="H29">
        <v>0</v>
      </c>
      <c r="I29">
        <v>298.087052</v>
      </c>
      <c r="J29">
        <v>0</v>
      </c>
      <c r="K29" t="s">
        <v>1921</v>
      </c>
      <c r="L29">
        <v>1.144660242370053</v>
      </c>
      <c r="M29">
        <v>22.34</v>
      </c>
      <c r="N29">
        <v>2.06</v>
      </c>
    </row>
    <row r="30" spans="1:14">
      <c r="A30" s="1" t="s">
        <v>42</v>
      </c>
      <c r="B30">
        <f>HYPERLINK("https://www.suredividend.com/sure-analysis-research-database/","Angel Oak Mortgage Inc")</f>
        <v>0</v>
      </c>
      <c r="C30" t="s">
        <v>1921</v>
      </c>
      <c r="D30">
        <v>11.21</v>
      </c>
      <c r="E30">
        <v>0.146079140188301</v>
      </c>
      <c r="H30">
        <v>1.637547161510864</v>
      </c>
      <c r="I30">
        <v>279.540968</v>
      </c>
      <c r="J30">
        <v>0</v>
      </c>
      <c r="K30" t="s">
        <v>1921</v>
      </c>
      <c r="L30">
        <v>0.6523311521605141</v>
      </c>
      <c r="M30">
        <v>16.74</v>
      </c>
      <c r="N30">
        <v>11.17</v>
      </c>
    </row>
    <row r="31" spans="1:14">
      <c r="A31" s="1" t="s">
        <v>43</v>
      </c>
      <c r="B31">
        <f>HYPERLINK("https://www.suredividend.com/sure-analysis-research-database/","Artivion Inc")</f>
        <v>0</v>
      </c>
      <c r="C31" t="s">
        <v>1921</v>
      </c>
      <c r="D31">
        <v>11.35</v>
      </c>
      <c r="E31">
        <v>0</v>
      </c>
      <c r="H31">
        <v>0</v>
      </c>
      <c r="I31">
        <v>457.587213</v>
      </c>
      <c r="J31" t="s">
        <v>1921</v>
      </c>
      <c r="K31">
        <v>-0</v>
      </c>
      <c r="L31">
        <v>1.057492157644678</v>
      </c>
      <c r="M31">
        <v>23.43</v>
      </c>
      <c r="N31">
        <v>11.13</v>
      </c>
    </row>
    <row r="32" spans="1:14">
      <c r="A32" s="1" t="s">
        <v>44</v>
      </c>
      <c r="B32">
        <f>HYPERLINK("https://www.suredividend.com/sure-analysis-research-database/","Alpha &amp; Omega Semiconductor Ltd")</f>
        <v>0</v>
      </c>
      <c r="C32" t="s">
        <v>1920</v>
      </c>
      <c r="D32">
        <v>30.2</v>
      </c>
      <c r="E32">
        <v>0</v>
      </c>
      <c r="H32">
        <v>0</v>
      </c>
      <c r="I32">
        <v>827.397645</v>
      </c>
      <c r="J32">
        <v>0</v>
      </c>
      <c r="K32" t="s">
        <v>1921</v>
      </c>
      <c r="L32">
        <v>2.283837363444762</v>
      </c>
      <c r="M32">
        <v>69.98999999999999</v>
      </c>
      <c r="N32">
        <v>28.74</v>
      </c>
    </row>
    <row r="33" spans="1:14">
      <c r="A33" s="1" t="s">
        <v>45</v>
      </c>
      <c r="B33">
        <f>HYPERLINK("https://www.suredividend.com/sure-analysis-research-database/","American Outdoor Brands Inc")</f>
        <v>0</v>
      </c>
      <c r="C33" t="s">
        <v>1921</v>
      </c>
      <c r="D33">
        <v>9.01</v>
      </c>
      <c r="E33">
        <v>0</v>
      </c>
      <c r="H33">
        <v>0</v>
      </c>
      <c r="I33">
        <v>121.243326</v>
      </c>
      <c r="J33">
        <v>0</v>
      </c>
      <c r="K33" t="s">
        <v>1921</v>
      </c>
      <c r="L33">
        <v>0.8459738417439531</v>
      </c>
      <c r="M33">
        <v>25.26</v>
      </c>
      <c r="N33">
        <v>7.1</v>
      </c>
    </row>
    <row r="34" spans="1:14">
      <c r="A34" s="1" t="s">
        <v>46</v>
      </c>
      <c r="B34">
        <f>HYPERLINK("https://www.suredividend.com/sure-analysis-APAM/","Artisan Partners Asset Management Inc")</f>
        <v>0</v>
      </c>
      <c r="C34" t="s">
        <v>1923</v>
      </c>
      <c r="D34">
        <v>26.67</v>
      </c>
      <c r="E34">
        <v>0.08998875140607424</v>
      </c>
      <c r="F34">
        <v>-0.4392523364485981</v>
      </c>
      <c r="G34">
        <v>0</v>
      </c>
      <c r="H34">
        <v>4.03934483844486</v>
      </c>
      <c r="I34">
        <v>1797.897162</v>
      </c>
      <c r="J34">
        <v>7.194955888916014</v>
      </c>
      <c r="K34">
        <v>0.9924680192739214</v>
      </c>
      <c r="L34">
        <v>1.168266383111316</v>
      </c>
      <c r="M34">
        <v>48.22</v>
      </c>
      <c r="N34">
        <v>26.39</v>
      </c>
    </row>
    <row r="35" spans="1:14">
      <c r="A35" s="1" t="s">
        <v>47</v>
      </c>
      <c r="B35">
        <f>HYPERLINK("https://www.suredividend.com/sure-analysis-research-database/","American Public Education Inc")</f>
        <v>0</v>
      </c>
      <c r="C35" t="s">
        <v>1928</v>
      </c>
      <c r="D35">
        <v>10.17</v>
      </c>
      <c r="E35">
        <v>0</v>
      </c>
      <c r="H35">
        <v>0</v>
      </c>
      <c r="I35">
        <v>191.986768</v>
      </c>
      <c r="J35" t="s">
        <v>1921</v>
      </c>
      <c r="K35">
        <v>-0</v>
      </c>
      <c r="L35">
        <v>0.6015525371118871</v>
      </c>
      <c r="M35">
        <v>26.49</v>
      </c>
      <c r="N35">
        <v>7.83</v>
      </c>
    </row>
    <row r="36" spans="1:14">
      <c r="A36" s="1" t="s">
        <v>48</v>
      </c>
      <c r="B36">
        <f>HYPERLINK("https://www.suredividend.com/sure-analysis-research-database/","APi Group Corporation")</f>
        <v>0</v>
      </c>
      <c r="C36" t="s">
        <v>1921</v>
      </c>
      <c r="D36">
        <v>14.06</v>
      </c>
      <c r="E36">
        <v>0</v>
      </c>
      <c r="H36">
        <v>0</v>
      </c>
      <c r="I36">
        <v>3278.631885</v>
      </c>
      <c r="J36">
        <v>0</v>
      </c>
      <c r="K36" t="s">
        <v>1921</v>
      </c>
      <c r="L36">
        <v>1.341489315400835</v>
      </c>
      <c r="M36">
        <v>26.84</v>
      </c>
      <c r="N36">
        <v>13.26</v>
      </c>
    </row>
    <row r="37" spans="1:14">
      <c r="A37" s="1" t="s">
        <v>49</v>
      </c>
      <c r="B37">
        <f>HYPERLINK("https://www.suredividend.com/sure-analysis-APLE/","Apple Hospitality REIT Inc")</f>
        <v>0</v>
      </c>
      <c r="C37" t="s">
        <v>1929</v>
      </c>
      <c r="D37">
        <v>14.59</v>
      </c>
      <c r="E37">
        <v>0.030452677753845</v>
      </c>
      <c r="F37">
        <v>0.4000000000000001</v>
      </c>
      <c r="G37">
        <v>-0.06885008490516231</v>
      </c>
      <c r="H37">
        <v>0.4443045684285981</v>
      </c>
      <c r="I37">
        <v>3339.335462</v>
      </c>
      <c r="J37">
        <v>26.02208001488385</v>
      </c>
      <c r="K37">
        <v>0.7919867529921534</v>
      </c>
      <c r="L37">
        <v>0.9817152190562771</v>
      </c>
      <c r="M37">
        <v>18.29</v>
      </c>
      <c r="N37">
        <v>13.72</v>
      </c>
    </row>
    <row r="38" spans="1:14">
      <c r="A38" s="1" t="s">
        <v>50</v>
      </c>
      <c r="B38">
        <f>HYPERLINK("https://www.suredividend.com/sure-analysis-research-database/","Apellis Pharmaceuticals Inc")</f>
        <v>0</v>
      </c>
      <c r="C38" t="s">
        <v>1922</v>
      </c>
      <c r="D38">
        <v>57.91</v>
      </c>
      <c r="E38">
        <v>0</v>
      </c>
      <c r="H38">
        <v>0</v>
      </c>
      <c r="I38">
        <v>6362.299813</v>
      </c>
      <c r="J38">
        <v>0</v>
      </c>
      <c r="K38" t="s">
        <v>1921</v>
      </c>
      <c r="L38">
        <v>1.075291560586283</v>
      </c>
      <c r="M38">
        <v>70</v>
      </c>
      <c r="N38">
        <v>30.17</v>
      </c>
    </row>
    <row r="39" spans="1:14">
      <c r="A39" s="1" t="s">
        <v>51</v>
      </c>
      <c r="B39">
        <f>HYPERLINK("https://www.suredividend.com/sure-analysis-research-database/","Applied Therapeutics Inc")</f>
        <v>0</v>
      </c>
      <c r="C39" t="s">
        <v>1922</v>
      </c>
      <c r="D39">
        <v>0.6267</v>
      </c>
      <c r="E39">
        <v>0</v>
      </c>
      <c r="H39">
        <v>0</v>
      </c>
      <c r="I39">
        <v>30.09458</v>
      </c>
      <c r="J39">
        <v>0</v>
      </c>
      <c r="K39" t="s">
        <v>1921</v>
      </c>
      <c r="L39">
        <v>1.183224169220069</v>
      </c>
      <c r="M39">
        <v>19.14</v>
      </c>
      <c r="N39">
        <v>0.5892000000000001</v>
      </c>
    </row>
    <row r="40" spans="1:14">
      <c r="A40" s="1" t="s">
        <v>52</v>
      </c>
      <c r="B40">
        <f>HYPERLINK("https://www.suredividend.com/sure-analysis-APOG/","Apogee Enterprises Inc.")</f>
        <v>0</v>
      </c>
      <c r="C40" t="s">
        <v>1924</v>
      </c>
      <c r="D40">
        <v>42.31</v>
      </c>
      <c r="E40">
        <v>0.02079886551642638</v>
      </c>
      <c r="F40">
        <v>0.09999999999999987</v>
      </c>
      <c r="G40">
        <v>0.09460878422315755</v>
      </c>
      <c r="H40">
        <v>0.8532233665829541</v>
      </c>
      <c r="I40">
        <v>939.623611</v>
      </c>
      <c r="J40">
        <v>17.11362555213551</v>
      </c>
      <c r="K40">
        <v>0.3693607647545256</v>
      </c>
      <c r="L40">
        <v>1.076372840736497</v>
      </c>
      <c r="M40">
        <v>49.69</v>
      </c>
      <c r="N40">
        <v>35.75</v>
      </c>
    </row>
    <row r="41" spans="1:14">
      <c r="A41" s="1" t="s">
        <v>53</v>
      </c>
      <c r="B41">
        <f>HYPERLINK("https://www.suredividend.com/sure-analysis-research-database/","Appfolio Inc")</f>
        <v>0</v>
      </c>
      <c r="C41" t="s">
        <v>1920</v>
      </c>
      <c r="D41">
        <v>112.75</v>
      </c>
      <c r="E41">
        <v>0</v>
      </c>
      <c r="H41">
        <v>0</v>
      </c>
      <c r="I41">
        <v>2274.684233</v>
      </c>
      <c r="J41" t="s">
        <v>1921</v>
      </c>
      <c r="K41">
        <v>-0</v>
      </c>
      <c r="L41">
        <v>0.9703928859784141</v>
      </c>
      <c r="M41">
        <v>139.99</v>
      </c>
      <c r="N41">
        <v>79.92</v>
      </c>
    </row>
    <row r="42" spans="1:14">
      <c r="A42" s="1" t="s">
        <v>54</v>
      </c>
      <c r="B42">
        <f>HYPERLINK("https://www.suredividend.com/sure-analysis-research-database/","AppHarvest Inc")</f>
        <v>0</v>
      </c>
      <c r="C42" t="s">
        <v>1921</v>
      </c>
      <c r="D42">
        <v>1.72</v>
      </c>
      <c r="E42">
        <v>0</v>
      </c>
      <c r="H42">
        <v>0</v>
      </c>
      <c r="I42">
        <v>182.127979</v>
      </c>
      <c r="J42">
        <v>0</v>
      </c>
      <c r="K42" t="s">
        <v>1921</v>
      </c>
      <c r="L42">
        <v>1.152281097770872</v>
      </c>
      <c r="M42">
        <v>7.11</v>
      </c>
      <c r="N42">
        <v>1.68</v>
      </c>
    </row>
    <row r="43" spans="1:14">
      <c r="A43" s="1" t="s">
        <v>55</v>
      </c>
      <c r="B43">
        <f>HYPERLINK("https://www.suredividend.com/sure-analysis-research-database/","Appian Corp")</f>
        <v>0</v>
      </c>
      <c r="C43" t="s">
        <v>1920</v>
      </c>
      <c r="D43">
        <v>40.08</v>
      </c>
      <c r="E43">
        <v>0</v>
      </c>
      <c r="H43">
        <v>0</v>
      </c>
      <c r="I43">
        <v>1641.357563</v>
      </c>
      <c r="J43" t="s">
        <v>1921</v>
      </c>
      <c r="K43">
        <v>-0</v>
      </c>
      <c r="L43">
        <v>2.160108293057656</v>
      </c>
      <c r="M43">
        <v>104.45</v>
      </c>
      <c r="N43">
        <v>38.78</v>
      </c>
    </row>
    <row r="44" spans="1:14">
      <c r="A44" s="1" t="s">
        <v>56</v>
      </c>
      <c r="B44">
        <f>HYPERLINK("https://www.suredividend.com/sure-analysis-research-database/","Digital Turbine Inc")</f>
        <v>0</v>
      </c>
      <c r="C44" t="s">
        <v>1920</v>
      </c>
      <c r="D44">
        <v>13.76</v>
      </c>
      <c r="E44">
        <v>0</v>
      </c>
      <c r="H44">
        <v>0</v>
      </c>
      <c r="I44">
        <v>1360.082927</v>
      </c>
      <c r="J44">
        <v>37.58796504974574</v>
      </c>
      <c r="K44">
        <v>0</v>
      </c>
      <c r="L44">
        <v>2.647819591435823</v>
      </c>
      <c r="M44">
        <v>93.98</v>
      </c>
      <c r="N44">
        <v>13.34</v>
      </c>
    </row>
    <row r="45" spans="1:14">
      <c r="A45" s="1" t="s">
        <v>57</v>
      </c>
      <c r="B45">
        <f>HYPERLINK("https://www.suredividend.com/sure-analysis-APTS/","Preferred Apartment Communities Inc")</f>
        <v>0</v>
      </c>
      <c r="C45" t="s">
        <v>1929</v>
      </c>
      <c r="D45">
        <v>25</v>
      </c>
      <c r="E45">
        <v>0.020817931770079</v>
      </c>
      <c r="H45">
        <v>0.520448294251993</v>
      </c>
      <c r="I45">
        <v>1611.074075</v>
      </c>
      <c r="J45" t="s">
        <v>1921</v>
      </c>
      <c r="K45" t="s">
        <v>1921</v>
      </c>
      <c r="L45">
        <v>0.182588529607265</v>
      </c>
      <c r="M45">
        <v>25.62</v>
      </c>
      <c r="N45">
        <v>9.32</v>
      </c>
    </row>
    <row r="46" spans="1:14">
      <c r="A46" s="1" t="s">
        <v>58</v>
      </c>
      <c r="B46">
        <f>HYPERLINK("https://www.suredividend.com/sure-analysis-research-database/","Apyx Medical Corp")</f>
        <v>0</v>
      </c>
      <c r="C46" t="s">
        <v>1922</v>
      </c>
      <c r="D46">
        <v>4.29</v>
      </c>
      <c r="E46">
        <v>0</v>
      </c>
      <c r="H46">
        <v>0</v>
      </c>
      <c r="I46">
        <v>148.318316</v>
      </c>
      <c r="J46">
        <v>0</v>
      </c>
      <c r="K46" t="s">
        <v>1921</v>
      </c>
      <c r="L46">
        <v>1.784658611700041</v>
      </c>
      <c r="M46">
        <v>17.5</v>
      </c>
      <c r="N46">
        <v>3.01</v>
      </c>
    </row>
    <row r="47" spans="1:14">
      <c r="A47" s="1" t="s">
        <v>59</v>
      </c>
      <c r="B47">
        <f>HYPERLINK("https://www.suredividend.com/sure-analysis-research-database/","AquaBounty Technologies Inc")</f>
        <v>0</v>
      </c>
      <c r="C47" t="s">
        <v>1928</v>
      </c>
      <c r="D47">
        <v>0.6031000000000001</v>
      </c>
      <c r="E47">
        <v>0</v>
      </c>
      <c r="H47">
        <v>0</v>
      </c>
      <c r="I47">
        <v>42.886871</v>
      </c>
      <c r="J47">
        <v>0</v>
      </c>
      <c r="K47" t="s">
        <v>1921</v>
      </c>
      <c r="L47">
        <v>1.389060242055817</v>
      </c>
      <c r="M47">
        <v>4.5</v>
      </c>
      <c r="N47">
        <v>0.602</v>
      </c>
    </row>
    <row r="48" spans="1:14">
      <c r="A48" s="1" t="s">
        <v>60</v>
      </c>
      <c r="B48">
        <f>HYPERLINK("https://www.suredividend.com/sure-analysis-research-database/","Evoqua Water Technologies Corp")</f>
        <v>0</v>
      </c>
      <c r="C48" t="s">
        <v>1924</v>
      </c>
      <c r="D48">
        <v>33.55</v>
      </c>
      <c r="E48">
        <v>0</v>
      </c>
      <c r="H48">
        <v>0</v>
      </c>
      <c r="I48">
        <v>4075.878852</v>
      </c>
      <c r="J48">
        <v>70.59265738508434</v>
      </c>
      <c r="K48">
        <v>0</v>
      </c>
      <c r="L48">
        <v>1.275573001466011</v>
      </c>
      <c r="M48">
        <v>49.38</v>
      </c>
      <c r="N48">
        <v>30.44</v>
      </c>
    </row>
    <row r="49" spans="1:14">
      <c r="A49" s="1" t="s">
        <v>61</v>
      </c>
      <c r="B49">
        <f>HYPERLINK("https://www.suredividend.com/sure-analysis-research-database/","Antero Resources Corp")</f>
        <v>0</v>
      </c>
      <c r="C49" t="s">
        <v>1926</v>
      </c>
      <c r="D49">
        <v>33.14</v>
      </c>
      <c r="E49">
        <v>0</v>
      </c>
      <c r="H49">
        <v>0</v>
      </c>
      <c r="I49">
        <v>10144.78714</v>
      </c>
      <c r="J49">
        <v>10.55887452182231</v>
      </c>
      <c r="K49">
        <v>0</v>
      </c>
      <c r="L49">
        <v>1.065264575794867</v>
      </c>
      <c r="M49">
        <v>48.8</v>
      </c>
      <c r="N49">
        <v>15.38</v>
      </c>
    </row>
    <row r="50" spans="1:14">
      <c r="A50" s="1" t="s">
        <v>62</v>
      </c>
      <c r="B50">
        <f>HYPERLINK("https://www.suredividend.com/sure-analysis-research-database/","Accuray Inc")</f>
        <v>0</v>
      </c>
      <c r="C50" t="s">
        <v>1922</v>
      </c>
      <c r="D50">
        <v>1.99</v>
      </c>
      <c r="E50">
        <v>0</v>
      </c>
      <c r="H50">
        <v>0</v>
      </c>
      <c r="I50">
        <v>186.223633</v>
      </c>
      <c r="J50" t="s">
        <v>1921</v>
      </c>
      <c r="K50">
        <v>-0</v>
      </c>
      <c r="L50">
        <v>1.266873378610348</v>
      </c>
      <c r="M50">
        <v>5.93</v>
      </c>
      <c r="N50">
        <v>1.7</v>
      </c>
    </row>
    <row r="51" spans="1:14">
      <c r="A51" s="1" t="s">
        <v>63</v>
      </c>
      <c r="B51">
        <f>HYPERLINK("https://www.suredividend.com/sure-analysis-research-database/","ArcBest Corp")</f>
        <v>0</v>
      </c>
      <c r="C51" t="s">
        <v>1924</v>
      </c>
      <c r="D51">
        <v>77.63</v>
      </c>
      <c r="E51">
        <v>0.005143656135176001</v>
      </c>
      <c r="F51">
        <v>0.5</v>
      </c>
      <c r="G51">
        <v>0.08447177119769855</v>
      </c>
      <c r="H51">
        <v>0.39930202577378</v>
      </c>
      <c r="I51">
        <v>1904.191704</v>
      </c>
      <c r="J51">
        <v>6.321828710629496</v>
      </c>
      <c r="K51">
        <v>0.03472191528467652</v>
      </c>
      <c r="L51">
        <v>1.593756033222987</v>
      </c>
      <c r="M51">
        <v>124.53</v>
      </c>
      <c r="N51">
        <v>64.97</v>
      </c>
    </row>
    <row r="52" spans="1:14">
      <c r="A52" s="1" t="s">
        <v>64</v>
      </c>
      <c r="B52">
        <f>HYPERLINK("https://www.suredividend.com/sure-analysis-research-database/","Arch Resources Inc")</f>
        <v>0</v>
      </c>
      <c r="C52" t="s">
        <v>1926</v>
      </c>
      <c r="D52">
        <v>143.35</v>
      </c>
      <c r="E52">
        <v>0.006784041817568</v>
      </c>
      <c r="H52">
        <v>0.9724923945484171</v>
      </c>
      <c r="I52">
        <v>2659.591042</v>
      </c>
      <c r="J52">
        <v>2.672461617298911</v>
      </c>
      <c r="K52">
        <v>0.01979024001930031</v>
      </c>
      <c r="L52">
        <v>0.681033313593821</v>
      </c>
      <c r="M52">
        <v>176.85</v>
      </c>
      <c r="N52">
        <v>70.70999999999999</v>
      </c>
    </row>
    <row r="53" spans="1:14">
      <c r="A53" s="1" t="s">
        <v>65</v>
      </c>
      <c r="B53">
        <f>HYPERLINK("https://www.suredividend.com/sure-analysis-research-database/","Arcturus Therapeutics Holdings Inc")</f>
        <v>0</v>
      </c>
      <c r="C53" t="s">
        <v>1922</v>
      </c>
      <c r="D53">
        <v>14.65</v>
      </c>
      <c r="E53">
        <v>0</v>
      </c>
      <c r="H53">
        <v>0</v>
      </c>
      <c r="I53">
        <v>389.34363</v>
      </c>
      <c r="J53">
        <v>0</v>
      </c>
      <c r="K53" t="s">
        <v>1921</v>
      </c>
      <c r="L53">
        <v>2.538026159910257</v>
      </c>
      <c r="M53">
        <v>48.75</v>
      </c>
      <c r="N53">
        <v>11.7</v>
      </c>
    </row>
    <row r="54" spans="1:14">
      <c r="A54" s="1" t="s">
        <v>66</v>
      </c>
      <c r="B54">
        <f>HYPERLINK("https://www.suredividend.com/sure-analysis-research-database/","Ardelyx Inc")</f>
        <v>0</v>
      </c>
      <c r="C54" t="s">
        <v>1922</v>
      </c>
      <c r="D54">
        <v>1.41</v>
      </c>
      <c r="E54">
        <v>0</v>
      </c>
      <c r="H54">
        <v>0</v>
      </c>
      <c r="I54">
        <v>218.036161</v>
      </c>
      <c r="J54">
        <v>0</v>
      </c>
      <c r="K54" t="s">
        <v>1921</v>
      </c>
      <c r="L54">
        <v>1.488281101240252</v>
      </c>
      <c r="M54">
        <v>1.92</v>
      </c>
      <c r="N54">
        <v>0.4902</v>
      </c>
    </row>
    <row r="55" spans="1:14">
      <c r="A55" s="1" t="s">
        <v>67</v>
      </c>
      <c r="B55">
        <f>HYPERLINK("https://www.suredividend.com/sure-analysis-research-database/","Argo Group International Holdings Ltd")</f>
        <v>0</v>
      </c>
      <c r="C55" t="s">
        <v>1923</v>
      </c>
      <c r="D55">
        <v>21.55</v>
      </c>
      <c r="E55">
        <v>0.056579911600096</v>
      </c>
      <c r="F55">
        <v>0</v>
      </c>
      <c r="G55">
        <v>0.0280153179958833</v>
      </c>
      <c r="H55">
        <v>1.219297094982069</v>
      </c>
      <c r="I55">
        <v>754.686107</v>
      </c>
      <c r="J55" t="s">
        <v>1921</v>
      </c>
      <c r="K55" t="s">
        <v>1921</v>
      </c>
      <c r="L55">
        <v>0.6149131232477031</v>
      </c>
      <c r="M55">
        <v>59.17</v>
      </c>
      <c r="N55">
        <v>19</v>
      </c>
    </row>
    <row r="56" spans="1:14">
      <c r="A56" s="1" t="s">
        <v>68</v>
      </c>
      <c r="B56">
        <f>HYPERLINK("https://www.suredividend.com/sure-analysis-ARI/","Apollo Commercial Real Estate Finance Inc")</f>
        <v>0</v>
      </c>
      <c r="C56" t="s">
        <v>1929</v>
      </c>
      <c r="D56">
        <v>8.41</v>
      </c>
      <c r="E56">
        <v>0.1664684898929845</v>
      </c>
      <c r="F56">
        <v>0</v>
      </c>
      <c r="G56">
        <v>-0.05319173028852708</v>
      </c>
      <c r="H56">
        <v>1.33154183537196</v>
      </c>
      <c r="I56">
        <v>1182.412318</v>
      </c>
      <c r="J56">
        <v>7.060400415295783</v>
      </c>
      <c r="K56">
        <v>1.280328687857654</v>
      </c>
      <c r="L56">
        <v>1.050224995235782</v>
      </c>
      <c r="M56">
        <v>14.16</v>
      </c>
      <c r="N56">
        <v>7.91</v>
      </c>
    </row>
    <row r="57" spans="1:14">
      <c r="A57" s="1" t="s">
        <v>69</v>
      </c>
      <c r="B57">
        <f>HYPERLINK("https://www.suredividend.com/sure-analysis-research-database/","Aris Water Solutions Inc")</f>
        <v>0</v>
      </c>
      <c r="C57" t="s">
        <v>1921</v>
      </c>
      <c r="D57">
        <v>13.61</v>
      </c>
      <c r="E57">
        <v>0.024802389848216</v>
      </c>
      <c r="H57">
        <v>0.337560525834225</v>
      </c>
      <c r="I57">
        <v>347.156095</v>
      </c>
      <c r="J57">
        <v>0</v>
      </c>
      <c r="K57" t="s">
        <v>1921</v>
      </c>
      <c r="M57">
        <v>23.46</v>
      </c>
      <c r="N57">
        <v>9.85</v>
      </c>
    </row>
    <row r="58" spans="1:14">
      <c r="A58" s="1" t="s">
        <v>70</v>
      </c>
      <c r="B58">
        <f>HYPERLINK("https://www.suredividend.com/sure-analysis-research-database/","ARKO Corp")</f>
        <v>0</v>
      </c>
      <c r="C58" t="s">
        <v>1921</v>
      </c>
      <c r="D58">
        <v>9.380000000000001</v>
      </c>
      <c r="E58">
        <v>0.006383381393198001</v>
      </c>
      <c r="H58">
        <v>0.05987611746819801</v>
      </c>
      <c r="I58">
        <v>1126.299204</v>
      </c>
      <c r="J58">
        <v>0</v>
      </c>
      <c r="K58" t="s">
        <v>1921</v>
      </c>
      <c r="L58">
        <v>0.7814331791177711</v>
      </c>
      <c r="M58">
        <v>10.82</v>
      </c>
      <c r="N58">
        <v>7.4</v>
      </c>
    </row>
    <row r="59" spans="1:14">
      <c r="A59" s="1" t="s">
        <v>71</v>
      </c>
      <c r="B59">
        <f>HYPERLINK("https://www.suredividend.com/sure-analysis-research-database/","Arlo Technologies Inc")</f>
        <v>0</v>
      </c>
      <c r="C59" t="s">
        <v>1924</v>
      </c>
      <c r="D59">
        <v>4.54</v>
      </c>
      <c r="E59">
        <v>0</v>
      </c>
      <c r="H59">
        <v>0</v>
      </c>
      <c r="I59">
        <v>397.847909</v>
      </c>
      <c r="J59">
        <v>0</v>
      </c>
      <c r="K59" t="s">
        <v>1921</v>
      </c>
      <c r="L59">
        <v>1.527307296328237</v>
      </c>
      <c r="M59">
        <v>11.79</v>
      </c>
      <c r="N59">
        <v>4.53</v>
      </c>
    </row>
    <row r="60" spans="1:14">
      <c r="A60" s="1" t="s">
        <v>72</v>
      </c>
      <c r="B60">
        <f>HYPERLINK("https://www.suredividend.com/sure-analysis-research-database/","Arconic Corporation")</f>
        <v>0</v>
      </c>
      <c r="C60" t="s">
        <v>1924</v>
      </c>
      <c r="D60">
        <v>19.95</v>
      </c>
      <c r="E60">
        <v>0</v>
      </c>
      <c r="H60">
        <v>0</v>
      </c>
      <c r="I60">
        <v>2048.155139</v>
      </c>
      <c r="J60">
        <v>0</v>
      </c>
      <c r="K60" t="s">
        <v>1921</v>
      </c>
      <c r="L60">
        <v>1.262613203882017</v>
      </c>
      <c r="M60">
        <v>35.74</v>
      </c>
      <c r="N60">
        <v>16.33</v>
      </c>
    </row>
    <row r="61" spans="1:14">
      <c r="A61" s="1" t="s">
        <v>73</v>
      </c>
      <c r="B61">
        <f>HYPERLINK("https://www.suredividend.com/sure-analysis-research-database/","Archrock Inc")</f>
        <v>0</v>
      </c>
      <c r="C61" t="s">
        <v>1926</v>
      </c>
      <c r="D61">
        <v>6.84</v>
      </c>
      <c r="E61">
        <v>0.08256619373646</v>
      </c>
      <c r="F61">
        <v>0</v>
      </c>
      <c r="G61">
        <v>0.03857377308425858</v>
      </c>
      <c r="H61">
        <v>0.564752765157389</v>
      </c>
      <c r="I61">
        <v>1064.472107</v>
      </c>
      <c r="J61">
        <v>32.66153559817128</v>
      </c>
      <c r="K61">
        <v>2.640265381754974</v>
      </c>
      <c r="L61">
        <v>0.669101723999568</v>
      </c>
      <c r="M61">
        <v>10.24</v>
      </c>
      <c r="N61">
        <v>6.28</v>
      </c>
    </row>
    <row r="62" spans="1:14">
      <c r="A62" s="1" t="s">
        <v>74</v>
      </c>
      <c r="B62">
        <f>HYPERLINK("https://www.suredividend.com/sure-analysis-AROW/","Arrow Financial Corp.")</f>
        <v>0</v>
      </c>
      <c r="C62" t="s">
        <v>1923</v>
      </c>
      <c r="D62">
        <v>29.14</v>
      </c>
      <c r="E62">
        <v>0.03706245710363761</v>
      </c>
      <c r="F62">
        <v>-1</v>
      </c>
      <c r="G62">
        <v>-1</v>
      </c>
      <c r="H62">
        <v>1.03043409411277</v>
      </c>
      <c r="I62">
        <v>466.743102</v>
      </c>
      <c r="J62">
        <v>9.754908397600689</v>
      </c>
      <c r="K62">
        <v>0.3615558224957088</v>
      </c>
      <c r="L62">
        <v>0.484563218863762</v>
      </c>
      <c r="M62">
        <v>36.26</v>
      </c>
      <c r="N62">
        <v>28.5</v>
      </c>
    </row>
    <row r="63" spans="1:14">
      <c r="A63" s="1" t="s">
        <v>75</v>
      </c>
      <c r="B63">
        <f>HYPERLINK("https://www.suredividend.com/sure-analysis-research-database/","Arcutis Biotherapeutics Inc")</f>
        <v>0</v>
      </c>
      <c r="C63" t="s">
        <v>1922</v>
      </c>
      <c r="D63">
        <v>19.04</v>
      </c>
      <c r="E63">
        <v>0</v>
      </c>
      <c r="H63">
        <v>0</v>
      </c>
      <c r="I63">
        <v>981.750476</v>
      </c>
      <c r="J63">
        <v>0</v>
      </c>
      <c r="K63" t="s">
        <v>1921</v>
      </c>
      <c r="L63">
        <v>1.142785973980578</v>
      </c>
      <c r="M63">
        <v>27.4</v>
      </c>
      <c r="N63">
        <v>13.59</v>
      </c>
    </row>
    <row r="64" spans="1:14">
      <c r="A64" s="1" t="s">
        <v>76</v>
      </c>
      <c r="B64">
        <f>HYPERLINK("https://www.suredividend.com/sure-analysis-ARR/","ARMOUR Residential REIT Inc")</f>
        <v>0</v>
      </c>
      <c r="C64" t="s">
        <v>1929</v>
      </c>
      <c r="D64">
        <v>4.51</v>
      </c>
      <c r="E64">
        <v>0.2660753880266075</v>
      </c>
      <c r="F64">
        <v>0</v>
      </c>
      <c r="G64">
        <v>0</v>
      </c>
      <c r="H64">
        <v>1.117420342233853</v>
      </c>
      <c r="I64">
        <v>517.0018700000001</v>
      </c>
      <c r="J64" t="s">
        <v>1921</v>
      </c>
      <c r="K64" t="s">
        <v>1921</v>
      </c>
      <c r="L64">
        <v>0.81065097584847</v>
      </c>
      <c r="M64">
        <v>9.66</v>
      </c>
      <c r="N64">
        <v>4.51</v>
      </c>
    </row>
    <row r="65" spans="1:14">
      <c r="A65" s="1" t="s">
        <v>77</v>
      </c>
      <c r="B65">
        <f>HYPERLINK("https://www.suredividend.com/sure-analysis-research-database/","Array Technologies Inc")</f>
        <v>0</v>
      </c>
      <c r="C65" t="s">
        <v>1921</v>
      </c>
      <c r="D65">
        <v>16.69</v>
      </c>
      <c r="E65">
        <v>0</v>
      </c>
      <c r="H65">
        <v>0</v>
      </c>
      <c r="I65">
        <v>2508.946231</v>
      </c>
      <c r="J65">
        <v>0</v>
      </c>
      <c r="K65" t="s">
        <v>1921</v>
      </c>
      <c r="L65">
        <v>2.028885082276901</v>
      </c>
      <c r="M65">
        <v>27.67</v>
      </c>
      <c r="N65">
        <v>5.45</v>
      </c>
    </row>
    <row r="66" spans="1:14">
      <c r="A66" s="1" t="s">
        <v>78</v>
      </c>
      <c r="B66">
        <f>HYPERLINK("https://www.suredividend.com/sure-analysis-ARTNA/","Artesian Resources Corp.")</f>
        <v>0</v>
      </c>
      <c r="C66" t="s">
        <v>1930</v>
      </c>
      <c r="D66">
        <v>46.12</v>
      </c>
      <c r="E66">
        <v>0.02363399826539463</v>
      </c>
      <c r="F66">
        <v>0.0455938697318008</v>
      </c>
      <c r="G66">
        <v>0.03018030707933628</v>
      </c>
      <c r="H66">
        <v>1.071965901825941</v>
      </c>
      <c r="I66">
        <v>397.070002</v>
      </c>
      <c r="J66">
        <v>22.50325880646076</v>
      </c>
      <c r="K66">
        <v>0.5732437977678829</v>
      </c>
      <c r="L66">
        <v>0.259790010476242</v>
      </c>
      <c r="M66">
        <v>60.36</v>
      </c>
      <c r="N66">
        <v>37.05</v>
      </c>
    </row>
    <row r="67" spans="1:14">
      <c r="A67" s="1" t="s">
        <v>79</v>
      </c>
      <c r="B67">
        <f>HYPERLINK("https://www.suredividend.com/sure-analysis-research-database/","Arvinas Inc")</f>
        <v>0</v>
      </c>
      <c r="C67" t="s">
        <v>1922</v>
      </c>
      <c r="D67">
        <v>38.79</v>
      </c>
      <c r="E67">
        <v>0</v>
      </c>
      <c r="H67">
        <v>0</v>
      </c>
      <c r="I67">
        <v>2063.833548</v>
      </c>
      <c r="J67">
        <v>0</v>
      </c>
      <c r="K67" t="s">
        <v>1921</v>
      </c>
      <c r="L67">
        <v>1.471545052813279</v>
      </c>
      <c r="M67">
        <v>97.33</v>
      </c>
      <c r="N67">
        <v>34.9</v>
      </c>
    </row>
    <row r="68" spans="1:14">
      <c r="A68" s="1" t="s">
        <v>80</v>
      </c>
      <c r="B68">
        <f>HYPERLINK("https://www.suredividend.com/sure-analysis-research-database/","Arrowhead Pharmaceuticals Inc.")</f>
        <v>0</v>
      </c>
      <c r="C68" t="s">
        <v>1922</v>
      </c>
      <c r="D68">
        <v>30.49</v>
      </c>
      <c r="E68">
        <v>0</v>
      </c>
      <c r="H68">
        <v>0</v>
      </c>
      <c r="I68">
        <v>3227.334882</v>
      </c>
      <c r="J68" t="s">
        <v>1921</v>
      </c>
      <c r="K68">
        <v>-0</v>
      </c>
      <c r="L68">
        <v>1.772842639925378</v>
      </c>
      <c r="M68">
        <v>84.83</v>
      </c>
      <c r="N68">
        <v>26.81</v>
      </c>
    </row>
    <row r="69" spans="1:14">
      <c r="A69" s="1" t="s">
        <v>81</v>
      </c>
      <c r="B69">
        <f>HYPERLINK("https://www.suredividend.com/sure-analysis-research-database/","Asana Inc")</f>
        <v>0</v>
      </c>
      <c r="C69" t="s">
        <v>1921</v>
      </c>
      <c r="D69">
        <v>22.18</v>
      </c>
      <c r="E69">
        <v>0</v>
      </c>
      <c r="H69">
        <v>0</v>
      </c>
      <c r="I69">
        <v>4219.944221</v>
      </c>
      <c r="J69" t="s">
        <v>1921</v>
      </c>
      <c r="K69">
        <v>-0</v>
      </c>
      <c r="L69">
        <v>2.882753548391497</v>
      </c>
      <c r="M69">
        <v>145.79</v>
      </c>
      <c r="N69">
        <v>16.19</v>
      </c>
    </row>
    <row r="70" spans="1:14">
      <c r="A70" s="1" t="s">
        <v>82</v>
      </c>
      <c r="B70">
        <f>HYPERLINK("https://www.suredividend.com/sure-analysis-ASB/","Associated Banc-Corp.")</f>
        <v>0</v>
      </c>
      <c r="C70" t="s">
        <v>1923</v>
      </c>
      <c r="D70">
        <v>21.04</v>
      </c>
      <c r="E70">
        <v>0.03802281368821293</v>
      </c>
      <c r="F70">
        <v>0</v>
      </c>
      <c r="G70">
        <v>0.07394092378577932</v>
      </c>
      <c r="H70">
        <v>0.792496926717522</v>
      </c>
      <c r="I70">
        <v>3162.425868</v>
      </c>
      <c r="J70">
        <v>10.14824280775167</v>
      </c>
      <c r="K70">
        <v>0.3828487568683682</v>
      </c>
      <c r="L70">
        <v>0.843763695367124</v>
      </c>
      <c r="M70">
        <v>25.32</v>
      </c>
      <c r="N70">
        <v>17.28</v>
      </c>
    </row>
    <row r="71" spans="1:14">
      <c r="A71" s="1" t="s">
        <v>83</v>
      </c>
      <c r="B71">
        <f>HYPERLINK("https://www.suredividend.com/sure-analysis-research-database/","ASGN Inc")</f>
        <v>0</v>
      </c>
      <c r="C71" t="s">
        <v>1924</v>
      </c>
      <c r="D71">
        <v>92.8</v>
      </c>
      <c r="E71">
        <v>0</v>
      </c>
      <c r="H71">
        <v>0</v>
      </c>
      <c r="I71">
        <v>4742.08</v>
      </c>
      <c r="J71">
        <v>10.86885170754068</v>
      </c>
      <c r="K71">
        <v>0</v>
      </c>
      <c r="L71">
        <v>1.188155747268386</v>
      </c>
      <c r="M71">
        <v>131.89</v>
      </c>
      <c r="N71">
        <v>78.26000000000001</v>
      </c>
    </row>
    <row r="72" spans="1:14">
      <c r="A72" s="1" t="s">
        <v>84</v>
      </c>
      <c r="B72">
        <f>HYPERLINK("https://www.suredividend.com/sure-analysis-research-database/","AdvanSix Inc")</f>
        <v>0</v>
      </c>
      <c r="C72" t="s">
        <v>1925</v>
      </c>
      <c r="D72">
        <v>31.86</v>
      </c>
      <c r="E72">
        <v>0.012359044754312</v>
      </c>
      <c r="H72">
        <v>0.393759165872392</v>
      </c>
      <c r="I72">
        <v>892.307767</v>
      </c>
      <c r="J72">
        <v>4.558195368488805</v>
      </c>
      <c r="K72">
        <v>0.05894598291502875</v>
      </c>
      <c r="L72">
        <v>1.252942956458902</v>
      </c>
      <c r="M72">
        <v>56.74</v>
      </c>
      <c r="N72">
        <v>30.75</v>
      </c>
    </row>
    <row r="73" spans="1:14">
      <c r="A73" s="1" t="s">
        <v>85</v>
      </c>
      <c r="B73">
        <f>HYPERLINK("https://www.suredividend.com/sure-analysis-research-database/","AerSale Corp")</f>
        <v>0</v>
      </c>
      <c r="C73" t="s">
        <v>1921</v>
      </c>
      <c r="D73">
        <v>18.59</v>
      </c>
      <c r="E73">
        <v>0</v>
      </c>
      <c r="H73">
        <v>0</v>
      </c>
      <c r="I73">
        <v>961.601175</v>
      </c>
      <c r="J73">
        <v>0</v>
      </c>
      <c r="K73" t="s">
        <v>1921</v>
      </c>
      <c r="L73">
        <v>1.072148035481197</v>
      </c>
      <c r="M73">
        <v>24.2</v>
      </c>
      <c r="N73">
        <v>12.78</v>
      </c>
    </row>
    <row r="74" spans="1:14">
      <c r="A74" s="1" t="s">
        <v>86</v>
      </c>
      <c r="B74">
        <f>HYPERLINK("https://www.suredividend.com/sure-analysis-research-database/","Academy Sports and Outdoors Inc")</f>
        <v>0</v>
      </c>
      <c r="C74" t="s">
        <v>1921</v>
      </c>
      <c r="D74">
        <v>43.8</v>
      </c>
      <c r="E74">
        <v>0.003422009033832</v>
      </c>
      <c r="H74">
        <v>0.149883995681882</v>
      </c>
      <c r="I74">
        <v>3492.463211</v>
      </c>
      <c r="J74">
        <v>5.442669751372175</v>
      </c>
      <c r="K74">
        <v>0.02093351894998352</v>
      </c>
      <c r="L74">
        <v>1.667067512786364</v>
      </c>
      <c r="M74">
        <v>51.43</v>
      </c>
      <c r="N74">
        <v>25.01</v>
      </c>
    </row>
    <row r="75" spans="1:14">
      <c r="A75" s="1" t="s">
        <v>87</v>
      </c>
      <c r="B75">
        <f>HYPERLINK("https://www.suredividend.com/sure-analysis-research-database/","Aspen Aerogels Inc.")</f>
        <v>0</v>
      </c>
      <c r="C75" t="s">
        <v>1924</v>
      </c>
      <c r="D75">
        <v>9.34</v>
      </c>
      <c r="E75">
        <v>0</v>
      </c>
      <c r="H75">
        <v>0</v>
      </c>
      <c r="I75">
        <v>377.71568</v>
      </c>
      <c r="J75">
        <v>0</v>
      </c>
      <c r="K75" t="s">
        <v>1921</v>
      </c>
      <c r="L75">
        <v>2.129178070000673</v>
      </c>
      <c r="M75">
        <v>65.98999999999999</v>
      </c>
      <c r="N75">
        <v>7.93</v>
      </c>
    </row>
    <row r="76" spans="1:14">
      <c r="A76" s="1" t="s">
        <v>88</v>
      </c>
      <c r="B76">
        <f>HYPERLINK("https://www.suredividend.com/sure-analysis-research-database/","Astec Industries Inc.")</f>
        <v>0</v>
      </c>
      <c r="C76" t="s">
        <v>1924</v>
      </c>
      <c r="D76">
        <v>33.04</v>
      </c>
      <c r="E76">
        <v>0.014466760436005</v>
      </c>
      <c r="F76">
        <v>0.09090909090909083</v>
      </c>
      <c r="G76">
        <v>0.03713728933664817</v>
      </c>
      <c r="H76">
        <v>0.477981764805616</v>
      </c>
      <c r="I76">
        <v>755.4566589999999</v>
      </c>
      <c r="J76">
        <v>2518.1888648</v>
      </c>
      <c r="K76">
        <v>36.48715761874931</v>
      </c>
      <c r="L76">
        <v>1.106589217837155</v>
      </c>
      <c r="M76">
        <v>74.37</v>
      </c>
      <c r="N76">
        <v>31.04</v>
      </c>
    </row>
    <row r="77" spans="1:14">
      <c r="A77" s="1" t="s">
        <v>89</v>
      </c>
      <c r="B77">
        <f>HYPERLINK("https://www.suredividend.com/sure-analysis-research-database/","Asensus Surgical Inc")</f>
        <v>0</v>
      </c>
      <c r="C77" t="s">
        <v>1921</v>
      </c>
      <c r="D77">
        <v>0.4088</v>
      </c>
      <c r="E77">
        <v>0</v>
      </c>
      <c r="H77">
        <v>0</v>
      </c>
      <c r="I77">
        <v>96.770696</v>
      </c>
      <c r="J77">
        <v>0</v>
      </c>
      <c r="K77" t="s">
        <v>1921</v>
      </c>
      <c r="L77">
        <v>1.852157582810007</v>
      </c>
      <c r="M77">
        <v>2.31</v>
      </c>
      <c r="N77">
        <v>0.35</v>
      </c>
    </row>
    <row r="78" spans="1:14">
      <c r="A78" s="1" t="s">
        <v>90</v>
      </c>
      <c r="B78">
        <f>HYPERLINK("https://www.suredividend.com/sure-analysis-research-database/","Atlas Technical Consultants Inc")</f>
        <v>0</v>
      </c>
      <c r="C78" t="s">
        <v>1924</v>
      </c>
      <c r="D78">
        <v>6.83</v>
      </c>
      <c r="E78">
        <v>0</v>
      </c>
      <c r="H78">
        <v>0</v>
      </c>
      <c r="I78">
        <v>251.156462</v>
      </c>
      <c r="J78">
        <v>0</v>
      </c>
      <c r="K78" t="s">
        <v>1921</v>
      </c>
      <c r="L78">
        <v>1.062657119135938</v>
      </c>
      <c r="M78">
        <v>13.57</v>
      </c>
      <c r="N78">
        <v>4.71</v>
      </c>
    </row>
    <row r="79" spans="1:14">
      <c r="A79" s="1" t="s">
        <v>91</v>
      </c>
      <c r="B79">
        <f>HYPERLINK("https://www.suredividend.com/sure-analysis-research-database/","Alphatec Holdings Inc")</f>
        <v>0</v>
      </c>
      <c r="C79" t="s">
        <v>1922</v>
      </c>
      <c r="D79">
        <v>9.470000000000001</v>
      </c>
      <c r="E79">
        <v>0</v>
      </c>
      <c r="H79">
        <v>0</v>
      </c>
      <c r="I79">
        <v>991.096421</v>
      </c>
      <c r="J79" t="s">
        <v>1921</v>
      </c>
      <c r="K79">
        <v>-0</v>
      </c>
      <c r="L79">
        <v>1.519064943059288</v>
      </c>
      <c r="M79">
        <v>14</v>
      </c>
      <c r="N79">
        <v>5.73</v>
      </c>
    </row>
    <row r="80" spans="1:14">
      <c r="A80" s="1" t="s">
        <v>92</v>
      </c>
      <c r="B80">
        <f>HYPERLINK("https://www.suredividend.com/sure-analysis-research-database/","A10 Networks Inc")</f>
        <v>0</v>
      </c>
      <c r="C80" t="s">
        <v>1920</v>
      </c>
      <c r="D80">
        <v>14.64</v>
      </c>
      <c r="E80">
        <v>0.010212147538728</v>
      </c>
      <c r="H80">
        <v>0.149505839966984</v>
      </c>
      <c r="I80">
        <v>1115.158505</v>
      </c>
      <c r="J80">
        <v>10.89245357504957</v>
      </c>
      <c r="K80">
        <v>0.1168014374742063</v>
      </c>
      <c r="L80">
        <v>1.289257528649924</v>
      </c>
      <c r="M80">
        <v>18.79</v>
      </c>
      <c r="N80">
        <v>12.19</v>
      </c>
    </row>
    <row r="81" spans="1:14">
      <c r="A81" s="1" t="s">
        <v>93</v>
      </c>
      <c r="B81">
        <f>HYPERLINK("https://www.suredividend.com/sure-analysis-research-database/","Aterian Inc")</f>
        <v>0</v>
      </c>
      <c r="C81" t="s">
        <v>1921</v>
      </c>
      <c r="D81">
        <v>1.03</v>
      </c>
      <c r="E81">
        <v>0</v>
      </c>
      <c r="H81">
        <v>0</v>
      </c>
      <c r="I81">
        <v>71.55677799999999</v>
      </c>
      <c r="J81">
        <v>0</v>
      </c>
      <c r="K81" t="s">
        <v>1921</v>
      </c>
      <c r="L81">
        <v>1.818186568085946</v>
      </c>
      <c r="M81">
        <v>10.16</v>
      </c>
      <c r="N81">
        <v>0.9652000000000001</v>
      </c>
    </row>
    <row r="82" spans="1:14">
      <c r="A82" s="1" t="s">
        <v>94</v>
      </c>
      <c r="B82">
        <f>HYPERLINK("https://www.suredividend.com/sure-analysis-research-database/","Anterix Inc")</f>
        <v>0</v>
      </c>
      <c r="C82" t="s">
        <v>1931</v>
      </c>
      <c r="D82">
        <v>35.02</v>
      </c>
      <c r="E82">
        <v>0</v>
      </c>
      <c r="H82">
        <v>0</v>
      </c>
      <c r="I82">
        <v>663.432573</v>
      </c>
      <c r="J82">
        <v>0</v>
      </c>
      <c r="K82" t="s">
        <v>1921</v>
      </c>
      <c r="L82">
        <v>0.5583606959317441</v>
      </c>
      <c r="M82">
        <v>66.55</v>
      </c>
      <c r="N82">
        <v>33.63</v>
      </c>
    </row>
    <row r="83" spans="1:14">
      <c r="A83" s="1" t="s">
        <v>95</v>
      </c>
      <c r="B83">
        <f>HYPERLINK("https://www.suredividend.com/sure-analysis-research-database/","Adtalem Global Education Inc")</f>
        <v>0</v>
      </c>
      <c r="C83" t="s">
        <v>1928</v>
      </c>
      <c r="D83">
        <v>37.33</v>
      </c>
      <c r="E83">
        <v>0</v>
      </c>
      <c r="H83">
        <v>0</v>
      </c>
      <c r="I83">
        <v>1687.469688</v>
      </c>
      <c r="J83">
        <v>5.311435726885003</v>
      </c>
      <c r="K83">
        <v>0</v>
      </c>
      <c r="L83">
        <v>0.6679477956976581</v>
      </c>
      <c r="M83">
        <v>41.4</v>
      </c>
      <c r="N83">
        <v>19.14</v>
      </c>
    </row>
    <row r="84" spans="1:14">
      <c r="A84" s="1" t="s">
        <v>96</v>
      </c>
      <c r="B84">
        <f>HYPERLINK("https://www.suredividend.com/sure-analysis-research-database/","Athira Pharma Inc")</f>
        <v>0</v>
      </c>
      <c r="C84" t="s">
        <v>1921</v>
      </c>
      <c r="D84">
        <v>3.04</v>
      </c>
      <c r="E84">
        <v>0</v>
      </c>
      <c r="H84">
        <v>0</v>
      </c>
      <c r="I84">
        <v>114.965881</v>
      </c>
      <c r="J84">
        <v>0</v>
      </c>
      <c r="K84" t="s">
        <v>1921</v>
      </c>
      <c r="L84">
        <v>1.240423128487461</v>
      </c>
      <c r="M84">
        <v>16.65</v>
      </c>
      <c r="N84">
        <v>2.53</v>
      </c>
    </row>
    <row r="85" spans="1:14">
      <c r="A85" s="1" t="s">
        <v>97</v>
      </c>
      <c r="B85">
        <f>HYPERLINK("https://www.suredividend.com/sure-analysis-research-database/","Athersys Inc")</f>
        <v>0</v>
      </c>
      <c r="C85" t="s">
        <v>1922</v>
      </c>
      <c r="D85">
        <v>1.59</v>
      </c>
      <c r="E85">
        <v>0</v>
      </c>
      <c r="H85">
        <v>0</v>
      </c>
      <c r="I85">
        <v>437.424496</v>
      </c>
      <c r="J85">
        <v>0</v>
      </c>
      <c r="K85" t="s">
        <v>1921</v>
      </c>
      <c r="M85">
        <v>35.5</v>
      </c>
      <c r="N85">
        <v>1.13</v>
      </c>
    </row>
    <row r="86" spans="1:14">
      <c r="A86" s="1" t="s">
        <v>98</v>
      </c>
      <c r="B86">
        <f>HYPERLINK("https://www.suredividend.com/sure-analysis-research-database/","ATI Inc")</f>
        <v>0</v>
      </c>
      <c r="C86" t="s">
        <v>1924</v>
      </c>
      <c r="D86">
        <v>28.2</v>
      </c>
      <c r="E86">
        <v>0</v>
      </c>
      <c r="H86">
        <v>0</v>
      </c>
      <c r="I86">
        <v>3663.240292</v>
      </c>
      <c r="J86">
        <v>310.4440925084746</v>
      </c>
      <c r="K86">
        <v>0</v>
      </c>
      <c r="L86">
        <v>0.9393891432178121</v>
      </c>
      <c r="M86">
        <v>33.31</v>
      </c>
      <c r="N86">
        <v>13.85</v>
      </c>
    </row>
    <row r="87" spans="1:14">
      <c r="A87" s="1" t="s">
        <v>99</v>
      </c>
      <c r="B87">
        <f>HYPERLINK("https://www.suredividend.com/sure-analysis-research-database/","Atkore Inc")</f>
        <v>0</v>
      </c>
      <c r="C87" t="s">
        <v>1924</v>
      </c>
      <c r="D87">
        <v>87.95</v>
      </c>
      <c r="E87">
        <v>0</v>
      </c>
      <c r="H87">
        <v>0</v>
      </c>
      <c r="I87">
        <v>3634.170165</v>
      </c>
      <c r="J87">
        <v>4.128837986143933</v>
      </c>
      <c r="K87">
        <v>0</v>
      </c>
      <c r="L87">
        <v>1.497014217526326</v>
      </c>
      <c r="M87">
        <v>123.53</v>
      </c>
      <c r="N87">
        <v>70.5</v>
      </c>
    </row>
    <row r="88" spans="1:14">
      <c r="A88" s="1" t="s">
        <v>100</v>
      </c>
      <c r="B88">
        <f>HYPERLINK("https://www.suredividend.com/sure-analysis-research-database/","Atlanticus Holdings Corp")</f>
        <v>0</v>
      </c>
      <c r="C88" t="s">
        <v>1923</v>
      </c>
      <c r="D88">
        <v>25.95</v>
      </c>
      <c r="E88">
        <v>0</v>
      </c>
      <c r="H88">
        <v>0</v>
      </c>
      <c r="I88">
        <v>375.74235</v>
      </c>
      <c r="J88">
        <v>2.495217653152704</v>
      </c>
      <c r="K88">
        <v>0</v>
      </c>
      <c r="L88">
        <v>1.573535467136562</v>
      </c>
      <c r="M88">
        <v>91.98</v>
      </c>
      <c r="N88">
        <v>24.33</v>
      </c>
    </row>
    <row r="89" spans="1:14">
      <c r="A89" s="1" t="s">
        <v>101</v>
      </c>
      <c r="B89">
        <f>HYPERLINK("https://www.suredividend.com/sure-analysis-research-database/","ATN International Inc")</f>
        <v>0</v>
      </c>
      <c r="C89" t="s">
        <v>1931</v>
      </c>
      <c r="D89">
        <v>35.22</v>
      </c>
      <c r="E89">
        <v>0.019189860700649</v>
      </c>
      <c r="F89">
        <v>0</v>
      </c>
      <c r="G89">
        <v>0</v>
      </c>
      <c r="H89">
        <v>0.675866893876892</v>
      </c>
      <c r="I89">
        <v>555.18487</v>
      </c>
      <c r="J89" t="s">
        <v>1921</v>
      </c>
      <c r="K89" t="s">
        <v>1921</v>
      </c>
      <c r="L89">
        <v>0.385583684698045</v>
      </c>
      <c r="M89">
        <v>50.23</v>
      </c>
      <c r="N89">
        <v>31.68</v>
      </c>
    </row>
    <row r="90" spans="1:14">
      <c r="A90" s="1" t="s">
        <v>102</v>
      </c>
      <c r="B90">
        <f>HYPERLINK("https://www.suredividend.com/sure-analysis-research-database/","Athenex Inc")</f>
        <v>0</v>
      </c>
      <c r="C90" t="s">
        <v>1922</v>
      </c>
      <c r="D90">
        <v>0.2256</v>
      </c>
      <c r="E90">
        <v>0</v>
      </c>
      <c r="H90">
        <v>0</v>
      </c>
      <c r="I90">
        <v>35.371877</v>
      </c>
      <c r="J90" t="s">
        <v>1921</v>
      </c>
      <c r="K90">
        <v>-0</v>
      </c>
      <c r="L90">
        <v>1.280794877381916</v>
      </c>
      <c r="M90">
        <v>2.99</v>
      </c>
      <c r="N90">
        <v>0.2206</v>
      </c>
    </row>
    <row r="91" spans="1:14">
      <c r="A91" s="1" t="s">
        <v>103</v>
      </c>
      <c r="B91">
        <f>HYPERLINK("https://www.suredividend.com/sure-analysis-research-database/","Atomera Inc")</f>
        <v>0</v>
      </c>
      <c r="C91" t="s">
        <v>1920</v>
      </c>
      <c r="D91">
        <v>8.779999999999999</v>
      </c>
      <c r="E91">
        <v>0</v>
      </c>
      <c r="H91">
        <v>0</v>
      </c>
      <c r="I91">
        <v>207.452049</v>
      </c>
      <c r="J91">
        <v>0</v>
      </c>
      <c r="K91" t="s">
        <v>1921</v>
      </c>
      <c r="L91">
        <v>2.179464681611868</v>
      </c>
      <c r="M91">
        <v>33.13</v>
      </c>
      <c r="N91">
        <v>8.609999999999999</v>
      </c>
    </row>
    <row r="92" spans="1:14">
      <c r="A92" s="1" t="s">
        <v>104</v>
      </c>
      <c r="B92">
        <f>HYPERLINK("https://www.suredividend.com/sure-analysis-research-database/","Atossa Therapeutics Inc")</f>
        <v>0</v>
      </c>
      <c r="C92" t="s">
        <v>1922</v>
      </c>
      <c r="D92">
        <v>0.8300000000000001</v>
      </c>
      <c r="E92">
        <v>0</v>
      </c>
      <c r="H92">
        <v>0</v>
      </c>
      <c r="I92">
        <v>105.098011</v>
      </c>
      <c r="J92">
        <v>0</v>
      </c>
      <c r="K92" t="s">
        <v>1921</v>
      </c>
      <c r="L92">
        <v>1.359279423434835</v>
      </c>
      <c r="M92">
        <v>3.13</v>
      </c>
      <c r="N92">
        <v>0.781</v>
      </c>
    </row>
    <row r="93" spans="1:14">
      <c r="A93" s="1" t="s">
        <v>105</v>
      </c>
      <c r="B93">
        <f>HYPERLINK("https://www.suredividend.com/sure-analysis-research-database/","Atara Biotherapeutics Inc")</f>
        <v>0</v>
      </c>
      <c r="C93" t="s">
        <v>1922</v>
      </c>
      <c r="D93">
        <v>3.8</v>
      </c>
      <c r="E93">
        <v>0</v>
      </c>
      <c r="H93">
        <v>0</v>
      </c>
      <c r="I93">
        <v>358.576816</v>
      </c>
      <c r="J93">
        <v>0</v>
      </c>
      <c r="K93" t="s">
        <v>1921</v>
      </c>
      <c r="L93">
        <v>1.968442090568186</v>
      </c>
      <c r="M93">
        <v>20.04</v>
      </c>
      <c r="N93">
        <v>2.83</v>
      </c>
    </row>
    <row r="94" spans="1:14">
      <c r="A94" s="1" t="s">
        <v>106</v>
      </c>
      <c r="B94">
        <f>HYPERLINK("https://www.suredividend.com/sure-analysis-research-database/","Atricure Inc")</f>
        <v>0</v>
      </c>
      <c r="C94" t="s">
        <v>1922</v>
      </c>
      <c r="D94">
        <v>35.98</v>
      </c>
      <c r="E94">
        <v>0</v>
      </c>
      <c r="H94">
        <v>0</v>
      </c>
      <c r="I94">
        <v>1670.358979</v>
      </c>
      <c r="J94">
        <v>0</v>
      </c>
      <c r="K94" t="s">
        <v>1921</v>
      </c>
      <c r="L94">
        <v>1.352803897311824</v>
      </c>
      <c r="M94">
        <v>89.18000000000001</v>
      </c>
      <c r="N94">
        <v>32.84</v>
      </c>
    </row>
    <row r="95" spans="1:14">
      <c r="A95" s="1" t="s">
        <v>107</v>
      </c>
      <c r="B95">
        <f>HYPERLINK("https://www.suredividend.com/sure-analysis-research-database/","Atrion Corp.")</f>
        <v>0</v>
      </c>
      <c r="C95" t="s">
        <v>1922</v>
      </c>
      <c r="D95">
        <v>582.88</v>
      </c>
      <c r="E95">
        <v>0.013658927220913</v>
      </c>
      <c r="F95">
        <v>0.1025641025641024</v>
      </c>
      <c r="G95">
        <v>0.1237027476042598</v>
      </c>
      <c r="H95">
        <v>7.961515498526327</v>
      </c>
      <c r="I95">
        <v>1041.017268</v>
      </c>
      <c r="J95">
        <v>30.39289000116781</v>
      </c>
      <c r="K95">
        <v>0.4192477882320341</v>
      </c>
      <c r="L95">
        <v>0.506804905183713</v>
      </c>
      <c r="M95">
        <v>795.84</v>
      </c>
      <c r="N95">
        <v>542.1</v>
      </c>
    </row>
    <row r="96" spans="1:14">
      <c r="A96" s="1" t="s">
        <v>108</v>
      </c>
      <c r="B96">
        <f>HYPERLINK("https://www.suredividend.com/sure-analysis-research-database/","Astronics Corp.")</f>
        <v>0</v>
      </c>
      <c r="C96" t="s">
        <v>1924</v>
      </c>
      <c r="D96">
        <v>7.96</v>
      </c>
      <c r="E96">
        <v>0</v>
      </c>
      <c r="H96">
        <v>0</v>
      </c>
      <c r="I96">
        <v>204.289659</v>
      </c>
      <c r="J96" t="s">
        <v>1921</v>
      </c>
      <c r="K96">
        <v>-0</v>
      </c>
      <c r="L96">
        <v>0.8662184060571451</v>
      </c>
      <c r="M96">
        <v>14.87</v>
      </c>
      <c r="N96">
        <v>7.6</v>
      </c>
    </row>
    <row r="97" spans="1:14">
      <c r="A97" s="1" t="s">
        <v>109</v>
      </c>
      <c r="B97">
        <f>HYPERLINK("https://www.suredividend.com/sure-analysis-research-database/","Antares Pharma Inc")</f>
        <v>0</v>
      </c>
      <c r="C97" t="s">
        <v>1922</v>
      </c>
      <c r="D97">
        <v>5.59</v>
      </c>
      <c r="E97">
        <v>0</v>
      </c>
      <c r="H97">
        <v>0</v>
      </c>
      <c r="I97">
        <v>0</v>
      </c>
      <c r="J97">
        <v>0</v>
      </c>
      <c r="K97">
        <v>0</v>
      </c>
    </row>
    <row r="98" spans="1:14">
      <c r="A98" s="1" t="s">
        <v>110</v>
      </c>
      <c r="B98">
        <f>HYPERLINK("https://www.suredividend.com/sure-analysis-research-database/","Air Transport Services Group Inc")</f>
        <v>0</v>
      </c>
      <c r="C98" t="s">
        <v>1924</v>
      </c>
      <c r="D98">
        <v>26.76</v>
      </c>
      <c r="E98">
        <v>0</v>
      </c>
      <c r="H98">
        <v>0</v>
      </c>
      <c r="I98">
        <v>1990.059207</v>
      </c>
      <c r="J98">
        <v>9.295649893079853</v>
      </c>
      <c r="K98">
        <v>0</v>
      </c>
      <c r="L98">
        <v>0.8457581616945721</v>
      </c>
      <c r="M98">
        <v>34.54</v>
      </c>
      <c r="N98">
        <v>23.32</v>
      </c>
    </row>
    <row r="99" spans="1:14">
      <c r="A99" s="1" t="s">
        <v>111</v>
      </c>
      <c r="B99">
        <f>HYPERLINK("https://www.suredividend.com/sure-analysis-research-database/","Atlantic Union Bankshares Corp")</f>
        <v>0</v>
      </c>
      <c r="C99" t="s">
        <v>1923</v>
      </c>
      <c r="D99">
        <v>31.46</v>
      </c>
      <c r="E99">
        <v>0.035797449037766</v>
      </c>
      <c r="F99">
        <v>0.0714285714285714</v>
      </c>
      <c r="G99">
        <v>0.07394092378577932</v>
      </c>
      <c r="H99">
        <v>1.126187746728129</v>
      </c>
      <c r="I99">
        <v>2359.94368</v>
      </c>
      <c r="J99">
        <v>10.90587304697031</v>
      </c>
      <c r="K99">
        <v>0.3937719394154297</v>
      </c>
      <c r="L99">
        <v>0.7532574251467431</v>
      </c>
      <c r="M99">
        <v>41.66</v>
      </c>
      <c r="N99">
        <v>30.26</v>
      </c>
    </row>
    <row r="100" spans="1:14">
      <c r="A100" s="1" t="s">
        <v>112</v>
      </c>
      <c r="B100">
        <f>HYPERLINK("https://www.suredividend.com/sure-analysis-research-database/","Audacy Inc")</f>
        <v>0</v>
      </c>
      <c r="C100" t="s">
        <v>1921</v>
      </c>
      <c r="D100">
        <v>0.3403</v>
      </c>
      <c r="E100">
        <v>0</v>
      </c>
      <c r="H100">
        <v>0</v>
      </c>
      <c r="I100">
        <v>48.080723</v>
      </c>
      <c r="J100">
        <v>10.00847694993755</v>
      </c>
      <c r="K100">
        <v>0</v>
      </c>
      <c r="L100">
        <v>1.45320465114023</v>
      </c>
      <c r="M100">
        <v>3.86</v>
      </c>
      <c r="N100">
        <v>0.3401</v>
      </c>
    </row>
    <row r="101" spans="1:14">
      <c r="A101" s="1" t="s">
        <v>113</v>
      </c>
      <c r="B101">
        <f>HYPERLINK("https://www.suredividend.com/sure-analysis-research-database/","Aura Biosciences Inc")</f>
        <v>0</v>
      </c>
      <c r="C101" t="s">
        <v>1921</v>
      </c>
      <c r="D101">
        <v>13.78</v>
      </c>
      <c r="E101">
        <v>0</v>
      </c>
      <c r="H101">
        <v>0</v>
      </c>
      <c r="I101">
        <v>403.390856</v>
      </c>
      <c r="J101">
        <v>0</v>
      </c>
      <c r="K101" t="s">
        <v>1921</v>
      </c>
      <c r="M101">
        <v>26.16</v>
      </c>
      <c r="N101">
        <v>11.98</v>
      </c>
    </row>
    <row r="102" spans="1:14">
      <c r="A102" s="1" t="s">
        <v>114</v>
      </c>
      <c r="B102">
        <f>HYPERLINK("https://www.suredividend.com/sure-analysis-AVA/","Avista Corp.")</f>
        <v>0</v>
      </c>
      <c r="C102" t="s">
        <v>1930</v>
      </c>
      <c r="D102">
        <v>36.91</v>
      </c>
      <c r="E102">
        <v>0.04768355459225142</v>
      </c>
      <c r="F102">
        <v>0.04142011834319526</v>
      </c>
      <c r="G102">
        <v>0.0424022162772979</v>
      </c>
      <c r="H102">
        <v>1.716954324803766</v>
      </c>
      <c r="I102">
        <v>2693.586496</v>
      </c>
      <c r="J102">
        <v>18.1678694718773</v>
      </c>
      <c r="K102">
        <v>0.8294465337216261</v>
      </c>
      <c r="L102">
        <v>0.291314020587779</v>
      </c>
      <c r="M102">
        <v>45.98</v>
      </c>
      <c r="N102">
        <v>36.32</v>
      </c>
    </row>
    <row r="103" spans="1:14">
      <c r="A103" s="1" t="s">
        <v>115</v>
      </c>
      <c r="B103">
        <f>HYPERLINK("https://www.suredividend.com/sure-analysis-research-database/","Aveanna Healthcare Holdings Inc")</f>
        <v>0</v>
      </c>
      <c r="C103" t="s">
        <v>1921</v>
      </c>
      <c r="D103">
        <v>1.35</v>
      </c>
      <c r="E103">
        <v>0</v>
      </c>
      <c r="H103">
        <v>0</v>
      </c>
      <c r="I103">
        <v>250.989624</v>
      </c>
      <c r="J103">
        <v>0</v>
      </c>
      <c r="K103" t="s">
        <v>1921</v>
      </c>
      <c r="L103">
        <v>1.107238847553669</v>
      </c>
      <c r="M103">
        <v>9.039999999999999</v>
      </c>
      <c r="N103">
        <v>1.3</v>
      </c>
    </row>
    <row r="104" spans="1:14">
      <c r="A104" s="1" t="s">
        <v>116</v>
      </c>
      <c r="B104">
        <f>HYPERLINK("https://www.suredividend.com/sure-analysis-research-database/","AeroVironment Inc.")</f>
        <v>0</v>
      </c>
      <c r="C104" t="s">
        <v>1924</v>
      </c>
      <c r="D104">
        <v>77.14</v>
      </c>
      <c r="E104">
        <v>0</v>
      </c>
      <c r="H104">
        <v>0</v>
      </c>
      <c r="I104">
        <v>1927.659251</v>
      </c>
      <c r="J104">
        <v>1378.869278354793</v>
      </c>
      <c r="K104">
        <v>0</v>
      </c>
      <c r="L104">
        <v>0.926832668145902</v>
      </c>
      <c r="M104">
        <v>114.11</v>
      </c>
      <c r="N104">
        <v>52.03</v>
      </c>
    </row>
    <row r="105" spans="1:14">
      <c r="A105" s="1" t="s">
        <v>117</v>
      </c>
      <c r="B105">
        <f>HYPERLINK("https://www.suredividend.com/sure-analysis-research-database/","American Vanguard Corp.")</f>
        <v>0</v>
      </c>
      <c r="C105" t="s">
        <v>1925</v>
      </c>
      <c r="D105">
        <v>20.53</v>
      </c>
      <c r="E105">
        <v>0.004619188658077001</v>
      </c>
      <c r="H105">
        <v>0.09483194315033501</v>
      </c>
      <c r="I105">
        <v>633.751246</v>
      </c>
      <c r="J105">
        <v>23.35376959870288</v>
      </c>
      <c r="K105">
        <v>0.1058746713747181</v>
      </c>
      <c r="L105">
        <v>0.7884862114456931</v>
      </c>
      <c r="M105">
        <v>25.93</v>
      </c>
      <c r="N105">
        <v>13.77</v>
      </c>
    </row>
    <row r="106" spans="1:14">
      <c r="A106" s="1" t="s">
        <v>118</v>
      </c>
      <c r="B106">
        <f>HYPERLINK("https://www.suredividend.com/sure-analysis-research-database/","AvidXchange Holdings Inc")</f>
        <v>0</v>
      </c>
      <c r="C106" t="s">
        <v>1922</v>
      </c>
      <c r="D106">
        <v>8.27</v>
      </c>
      <c r="E106">
        <v>0</v>
      </c>
      <c r="H106">
        <v>0</v>
      </c>
      <c r="I106">
        <v>1638.2816</v>
      </c>
      <c r="J106">
        <v>0</v>
      </c>
      <c r="K106" t="s">
        <v>1921</v>
      </c>
      <c r="M106">
        <v>27.44</v>
      </c>
      <c r="N106">
        <v>5.86</v>
      </c>
    </row>
    <row r="107" spans="1:14">
      <c r="A107" s="1" t="s">
        <v>119</v>
      </c>
      <c r="B107">
        <f>HYPERLINK("https://www.suredividend.com/sure-analysis-research-database/","Avid Technology, Inc.")</f>
        <v>0</v>
      </c>
      <c r="C107" t="s">
        <v>1931</v>
      </c>
      <c r="D107">
        <v>23.76</v>
      </c>
      <c r="E107">
        <v>0</v>
      </c>
      <c r="H107">
        <v>0</v>
      </c>
      <c r="I107">
        <v>1060.603086</v>
      </c>
      <c r="J107">
        <v>22.11893817559958</v>
      </c>
      <c r="K107">
        <v>0</v>
      </c>
      <c r="L107">
        <v>1.448172653062527</v>
      </c>
      <c r="M107">
        <v>37.31</v>
      </c>
      <c r="N107">
        <v>20.83</v>
      </c>
    </row>
    <row r="108" spans="1:14">
      <c r="A108" s="1" t="s">
        <v>120</v>
      </c>
      <c r="B108">
        <f>HYPERLINK("https://www.suredividend.com/sure-analysis-research-database/","Atea Pharmaceuticals Inc")</f>
        <v>0</v>
      </c>
      <c r="C108" t="s">
        <v>1921</v>
      </c>
      <c r="D108">
        <v>5.38</v>
      </c>
      <c r="E108">
        <v>0</v>
      </c>
      <c r="H108">
        <v>0</v>
      </c>
      <c r="I108">
        <v>447.931284</v>
      </c>
      <c r="J108">
        <v>0</v>
      </c>
      <c r="K108" t="s">
        <v>1921</v>
      </c>
      <c r="L108">
        <v>1.231620891207141</v>
      </c>
      <c r="M108">
        <v>43</v>
      </c>
      <c r="N108">
        <v>5.25</v>
      </c>
    </row>
    <row r="109" spans="1:14">
      <c r="A109" s="1" t="s">
        <v>121</v>
      </c>
      <c r="B109">
        <f>HYPERLINK("https://www.suredividend.com/sure-analysis-research-database/","Avanos Medical Inc")</f>
        <v>0</v>
      </c>
      <c r="C109" t="s">
        <v>1922</v>
      </c>
      <c r="D109">
        <v>20.94</v>
      </c>
      <c r="E109">
        <v>0</v>
      </c>
      <c r="H109">
        <v>0</v>
      </c>
      <c r="I109">
        <v>990.983301</v>
      </c>
      <c r="J109" t="s">
        <v>1921</v>
      </c>
      <c r="K109">
        <v>-0</v>
      </c>
      <c r="L109">
        <v>0.8862848580065881</v>
      </c>
      <c r="M109">
        <v>36.44</v>
      </c>
      <c r="N109">
        <v>20.83</v>
      </c>
    </row>
    <row r="110" spans="1:14">
      <c r="A110" s="1" t="s">
        <v>122</v>
      </c>
      <c r="B110">
        <f>HYPERLINK("https://www.suredividend.com/sure-analysis-AVNT/","Avient Corp")</f>
        <v>0</v>
      </c>
      <c r="C110" t="s">
        <v>1921</v>
      </c>
      <c r="D110">
        <v>30.47</v>
      </c>
      <c r="E110">
        <v>0.03117820807351493</v>
      </c>
      <c r="F110">
        <v>0.1176470588235294</v>
      </c>
      <c r="G110">
        <v>0.06298004826234438</v>
      </c>
      <c r="H110">
        <v>0.9419824461465761</v>
      </c>
      <c r="I110">
        <v>2770.848653</v>
      </c>
      <c r="J110">
        <v>11.01291197619237</v>
      </c>
      <c r="K110">
        <v>0.3450485150720059</v>
      </c>
      <c r="L110">
        <v>1.331775196927349</v>
      </c>
      <c r="M110">
        <v>60.2</v>
      </c>
      <c r="N110">
        <v>29.8</v>
      </c>
    </row>
    <row r="111" spans="1:14">
      <c r="A111" s="1" t="s">
        <v>123</v>
      </c>
      <c r="B111">
        <f>HYPERLINK("https://www.suredividend.com/sure-analysis-research-database/","Aviat Networks Inc")</f>
        <v>0</v>
      </c>
      <c r="C111" t="s">
        <v>1920</v>
      </c>
      <c r="D111">
        <v>27.36</v>
      </c>
      <c r="E111">
        <v>0</v>
      </c>
      <c r="H111">
        <v>0</v>
      </c>
      <c r="I111">
        <v>306.505024</v>
      </c>
      <c r="J111">
        <v>14.48511454820416</v>
      </c>
      <c r="K111">
        <v>0</v>
      </c>
      <c r="L111">
        <v>0.9593981666855751</v>
      </c>
      <c r="M111">
        <v>35.18</v>
      </c>
      <c r="N111">
        <v>23.88</v>
      </c>
    </row>
    <row r="112" spans="1:14">
      <c r="A112" s="1" t="s">
        <v>124</v>
      </c>
      <c r="B112">
        <f>HYPERLINK("https://www.suredividend.com/sure-analysis-research-database/","Mission Produce Inc")</f>
        <v>0</v>
      </c>
      <c r="C112" t="s">
        <v>1921</v>
      </c>
      <c r="D112">
        <v>14.75</v>
      </c>
      <c r="E112">
        <v>0</v>
      </c>
      <c r="H112">
        <v>0</v>
      </c>
      <c r="I112">
        <v>1042.297009</v>
      </c>
      <c r="J112">
        <v>0</v>
      </c>
      <c r="K112" t="s">
        <v>1921</v>
      </c>
      <c r="L112">
        <v>0.575823159433003</v>
      </c>
      <c r="M112">
        <v>20.79</v>
      </c>
      <c r="N112">
        <v>11.04</v>
      </c>
    </row>
    <row r="113" spans="1:14">
      <c r="A113" s="1" t="s">
        <v>125</v>
      </c>
      <c r="B113">
        <f>HYPERLINK("https://www.suredividend.com/sure-analysis-research-database/","AvroBio Inc")</f>
        <v>0</v>
      </c>
      <c r="C113" t="s">
        <v>1922</v>
      </c>
      <c r="D113">
        <v>0.6349</v>
      </c>
      <c r="E113">
        <v>0</v>
      </c>
      <c r="H113">
        <v>0</v>
      </c>
      <c r="I113">
        <v>27.792047</v>
      </c>
      <c r="J113">
        <v>0</v>
      </c>
      <c r="K113" t="s">
        <v>1921</v>
      </c>
      <c r="L113">
        <v>1.235478019419539</v>
      </c>
      <c r="M113">
        <v>6.62</v>
      </c>
      <c r="N113">
        <v>0.625</v>
      </c>
    </row>
    <row r="114" spans="1:14">
      <c r="A114" s="1" t="s">
        <v>126</v>
      </c>
      <c r="B114">
        <f>HYPERLINK("https://www.suredividend.com/sure-analysis-research-database/","Aerovate Therapeutics Inc")</f>
        <v>0</v>
      </c>
      <c r="C114" t="s">
        <v>1921</v>
      </c>
      <c r="D114">
        <v>16.7</v>
      </c>
      <c r="E114">
        <v>0</v>
      </c>
      <c r="H114">
        <v>0</v>
      </c>
      <c r="I114">
        <v>407.653563</v>
      </c>
      <c r="J114">
        <v>0</v>
      </c>
      <c r="K114" t="s">
        <v>1921</v>
      </c>
      <c r="L114">
        <v>1.303511331289035</v>
      </c>
      <c r="M114">
        <v>27.83</v>
      </c>
      <c r="N114">
        <v>7.74</v>
      </c>
    </row>
    <row r="115" spans="1:14">
      <c r="A115" s="1" t="s">
        <v>127</v>
      </c>
      <c r="B115">
        <f>HYPERLINK("https://www.suredividend.com/sure-analysis-research-database/","Avalo Therapeutics Inc")</f>
        <v>0</v>
      </c>
      <c r="C115" t="s">
        <v>1921</v>
      </c>
      <c r="D115">
        <v>4.11</v>
      </c>
      <c r="E115">
        <v>0</v>
      </c>
      <c r="H115">
        <v>0</v>
      </c>
      <c r="I115">
        <v>38.691972</v>
      </c>
      <c r="J115">
        <v>0</v>
      </c>
      <c r="K115" t="s">
        <v>1921</v>
      </c>
      <c r="L115">
        <v>0.726709743744079</v>
      </c>
      <c r="M115">
        <v>29.4</v>
      </c>
      <c r="N115">
        <v>2.42</v>
      </c>
    </row>
    <row r="116" spans="1:14">
      <c r="A116" s="1" t="s">
        <v>128</v>
      </c>
      <c r="B116">
        <f>HYPERLINK("https://www.suredividend.com/sure-analysis-research-database/","Anavex Life Sciences Corporation")</f>
        <v>0</v>
      </c>
      <c r="C116" t="s">
        <v>1922</v>
      </c>
      <c r="D116">
        <v>10.33</v>
      </c>
      <c r="E116">
        <v>0</v>
      </c>
      <c r="H116">
        <v>0</v>
      </c>
      <c r="I116">
        <v>805.149279</v>
      </c>
      <c r="J116">
        <v>0</v>
      </c>
      <c r="K116" t="s">
        <v>1921</v>
      </c>
      <c r="L116">
        <v>1.882143921460209</v>
      </c>
      <c r="M116">
        <v>23.73</v>
      </c>
      <c r="N116">
        <v>7.13</v>
      </c>
    </row>
    <row r="117" spans="1:14">
      <c r="A117" s="1" t="s">
        <v>129</v>
      </c>
      <c r="B117">
        <f>HYPERLINK("https://www.suredividend.com/sure-analysis-research-database/","Avaya Holdings Corp.")</f>
        <v>0</v>
      </c>
      <c r="C117" t="s">
        <v>1920</v>
      </c>
      <c r="D117">
        <v>1.11</v>
      </c>
      <c r="E117">
        <v>0</v>
      </c>
      <c r="H117">
        <v>0</v>
      </c>
      <c r="I117">
        <v>95.278582</v>
      </c>
      <c r="J117">
        <v>0</v>
      </c>
      <c r="K117" t="s">
        <v>1921</v>
      </c>
      <c r="L117">
        <v>1.41526015100094</v>
      </c>
      <c r="M117">
        <v>22.47</v>
      </c>
      <c r="N117">
        <v>0.5962000000000001</v>
      </c>
    </row>
    <row r="118" spans="1:14">
      <c r="A118" s="1" t="s">
        <v>130</v>
      </c>
      <c r="B118">
        <f>HYPERLINK("https://www.suredividend.com/sure-analysis-research-database/","Aspira Women`s Health Inc")</f>
        <v>0</v>
      </c>
      <c r="C118" t="s">
        <v>1921</v>
      </c>
      <c r="D118">
        <v>0.372</v>
      </c>
      <c r="E118">
        <v>0</v>
      </c>
      <c r="H118">
        <v>0</v>
      </c>
      <c r="I118">
        <v>41.774256</v>
      </c>
      <c r="J118" t="s">
        <v>1921</v>
      </c>
      <c r="K118">
        <v>-0</v>
      </c>
      <c r="L118">
        <v>1.519393800894389</v>
      </c>
      <c r="M118">
        <v>3.51</v>
      </c>
      <c r="N118">
        <v>0.321</v>
      </c>
    </row>
    <row r="119" spans="1:14">
      <c r="A119" s="1" t="s">
        <v>131</v>
      </c>
      <c r="B119">
        <f>HYPERLINK("https://www.suredividend.com/sure-analysis-AWR/","American States Water Co.")</f>
        <v>0</v>
      </c>
      <c r="C119" t="s">
        <v>1930</v>
      </c>
      <c r="D119">
        <v>80.69</v>
      </c>
      <c r="E119">
        <v>0.01970504399553848</v>
      </c>
      <c r="F119">
        <v>0.08904109589041109</v>
      </c>
      <c r="G119">
        <v>0.09284706567232748</v>
      </c>
      <c r="H119">
        <v>1.482564764860296</v>
      </c>
      <c r="I119">
        <v>2982.046129</v>
      </c>
      <c r="J119">
        <v>36.18197637118106</v>
      </c>
      <c r="K119">
        <v>0.6648272488162762</v>
      </c>
      <c r="L119">
        <v>0.43932965184052</v>
      </c>
      <c r="M119">
        <v>102.38</v>
      </c>
      <c r="N119">
        <v>70.90000000000001</v>
      </c>
    </row>
    <row r="120" spans="1:14">
      <c r="A120" s="1" t="s">
        <v>132</v>
      </c>
      <c r="B120">
        <f>HYPERLINK("https://www.suredividend.com/sure-analysis-research-database/","Axos Financial Inc.")</f>
        <v>0</v>
      </c>
      <c r="C120" t="s">
        <v>1923</v>
      </c>
      <c r="D120">
        <v>35.64</v>
      </c>
      <c r="E120">
        <v>0</v>
      </c>
      <c r="H120">
        <v>0</v>
      </c>
      <c r="I120">
        <v>2137.357601</v>
      </c>
      <c r="J120">
        <v>8.879167156649331</v>
      </c>
      <c r="K120">
        <v>0</v>
      </c>
      <c r="L120">
        <v>1.205849318656366</v>
      </c>
      <c r="M120">
        <v>62.44</v>
      </c>
      <c r="N120">
        <v>34.11</v>
      </c>
    </row>
    <row r="121" spans="1:14">
      <c r="A121" s="1" t="s">
        <v>133</v>
      </c>
      <c r="B121">
        <f>HYPERLINK("https://www.suredividend.com/sure-analysis-research-database/","Accelerate Diagnostics Inc")</f>
        <v>0</v>
      </c>
      <c r="C121" t="s">
        <v>1922</v>
      </c>
      <c r="D121">
        <v>1.6</v>
      </c>
      <c r="E121">
        <v>0</v>
      </c>
      <c r="H121">
        <v>0</v>
      </c>
      <c r="I121">
        <v>130.495885</v>
      </c>
      <c r="J121">
        <v>0</v>
      </c>
      <c r="K121" t="s">
        <v>1921</v>
      </c>
      <c r="L121">
        <v>1.449947534091604</v>
      </c>
      <c r="M121">
        <v>7.19</v>
      </c>
      <c r="N121">
        <v>0.502</v>
      </c>
    </row>
    <row r="122" spans="1:14">
      <c r="A122" s="1" t="s">
        <v>134</v>
      </c>
      <c r="B122">
        <f>HYPERLINK("https://www.suredividend.com/sure-analysis-research-database/","Axogen Inc.")</f>
        <v>0</v>
      </c>
      <c r="C122" t="s">
        <v>1922</v>
      </c>
      <c r="D122">
        <v>10.86</v>
      </c>
      <c r="E122">
        <v>0</v>
      </c>
      <c r="H122">
        <v>0</v>
      </c>
      <c r="I122">
        <v>459.201145</v>
      </c>
      <c r="J122">
        <v>0</v>
      </c>
      <c r="K122" t="s">
        <v>1921</v>
      </c>
      <c r="L122">
        <v>1.346798832926049</v>
      </c>
      <c r="M122">
        <v>16.02</v>
      </c>
      <c r="N122">
        <v>6.87</v>
      </c>
    </row>
    <row r="123" spans="1:14">
      <c r="A123" s="1" t="s">
        <v>135</v>
      </c>
      <c r="B123">
        <f>HYPERLINK("https://www.suredividend.com/sure-analysis-research-database/","American Axle &amp; Manufacturing Holdings Inc")</f>
        <v>0</v>
      </c>
      <c r="C123" t="s">
        <v>1927</v>
      </c>
      <c r="D123">
        <v>7.42</v>
      </c>
      <c r="E123">
        <v>0</v>
      </c>
      <c r="H123">
        <v>0</v>
      </c>
      <c r="I123">
        <v>849.967292</v>
      </c>
      <c r="J123" t="s">
        <v>1921</v>
      </c>
      <c r="K123">
        <v>-0</v>
      </c>
      <c r="L123">
        <v>1.731363133124754</v>
      </c>
      <c r="M123">
        <v>11.96</v>
      </c>
      <c r="N123">
        <v>6.36</v>
      </c>
    </row>
    <row r="124" spans="1:14">
      <c r="A124" s="1" t="s">
        <v>136</v>
      </c>
      <c r="B124">
        <f>HYPERLINK("https://www.suredividend.com/sure-analysis-research-database/","Axonics Inc")</f>
        <v>0</v>
      </c>
      <c r="C124" t="s">
        <v>1922</v>
      </c>
      <c r="D124">
        <v>68.27</v>
      </c>
      <c r="E124">
        <v>0</v>
      </c>
      <c r="H124">
        <v>0</v>
      </c>
      <c r="I124">
        <v>3216.275889</v>
      </c>
      <c r="J124">
        <v>0</v>
      </c>
      <c r="K124" t="s">
        <v>1921</v>
      </c>
      <c r="L124">
        <v>1.551279225011255</v>
      </c>
      <c r="M124">
        <v>79.92</v>
      </c>
      <c r="N124">
        <v>38.41</v>
      </c>
    </row>
    <row r="125" spans="1:14">
      <c r="A125" s="1" t="s">
        <v>137</v>
      </c>
      <c r="B125">
        <f>HYPERLINK("https://www.suredividend.com/sure-analysis-research-database/","Axsome Therapeutics Inc")</f>
        <v>0</v>
      </c>
      <c r="C125" t="s">
        <v>1922</v>
      </c>
      <c r="D125">
        <v>43.84</v>
      </c>
      <c r="E125">
        <v>0</v>
      </c>
      <c r="H125">
        <v>0</v>
      </c>
      <c r="I125">
        <v>1705.970032</v>
      </c>
      <c r="J125">
        <v>0</v>
      </c>
      <c r="K125" t="s">
        <v>1921</v>
      </c>
      <c r="L125">
        <v>1.422216350655044</v>
      </c>
      <c r="M125">
        <v>71.98</v>
      </c>
      <c r="N125">
        <v>20.63</v>
      </c>
    </row>
    <row r="126" spans="1:14">
      <c r="A126" s="1" t="s">
        <v>138</v>
      </c>
      <c r="B126">
        <f>HYPERLINK("https://www.suredividend.com/sure-analysis-research-database/","AXT Inc")</f>
        <v>0</v>
      </c>
      <c r="C126" t="s">
        <v>1920</v>
      </c>
      <c r="D126">
        <v>4.62</v>
      </c>
      <c r="E126">
        <v>0</v>
      </c>
      <c r="H126">
        <v>0</v>
      </c>
      <c r="I126">
        <v>198.934945</v>
      </c>
      <c r="J126">
        <v>12.96584406178713</v>
      </c>
      <c r="K126">
        <v>0</v>
      </c>
      <c r="L126">
        <v>1.475965360477474</v>
      </c>
      <c r="M126">
        <v>9.94</v>
      </c>
      <c r="N126">
        <v>4.61</v>
      </c>
    </row>
    <row r="127" spans="1:14">
      <c r="A127" s="1" t="s">
        <v>139</v>
      </c>
      <c r="B127">
        <f>HYPERLINK("https://www.suredividend.com/sure-analysis-research-database/","AZZ Inc")</f>
        <v>0</v>
      </c>
      <c r="C127" t="s">
        <v>1924</v>
      </c>
      <c r="D127">
        <v>39.02</v>
      </c>
      <c r="E127">
        <v>0.01732496147929</v>
      </c>
      <c r="F127">
        <v>0</v>
      </c>
      <c r="G127">
        <v>0</v>
      </c>
      <c r="H127">
        <v>0.6760199969219221</v>
      </c>
      <c r="I127">
        <v>967.251718</v>
      </c>
      <c r="J127">
        <v>11.2783251122875</v>
      </c>
      <c r="K127">
        <v>0.1982463334081883</v>
      </c>
      <c r="L127">
        <v>0.788873159489437</v>
      </c>
      <c r="M127">
        <v>57.74</v>
      </c>
      <c r="N127">
        <v>35.58</v>
      </c>
    </row>
    <row r="128" spans="1:14">
      <c r="A128" s="1" t="s">
        <v>140</v>
      </c>
      <c r="B128">
        <f>HYPERLINK("https://www.suredividend.com/sure-analysis-research-database/","Barnes Group Inc.")</f>
        <v>0</v>
      </c>
      <c r="C128" t="s">
        <v>1924</v>
      </c>
      <c r="D128">
        <v>32.06</v>
      </c>
      <c r="E128">
        <v>0.01982659457443</v>
      </c>
      <c r="F128">
        <v>0</v>
      </c>
      <c r="G128">
        <v>0.02706608708935176</v>
      </c>
      <c r="H128">
        <v>0.6356406220562351</v>
      </c>
      <c r="I128">
        <v>1619.604964</v>
      </c>
      <c r="J128">
        <v>43.85370313115997</v>
      </c>
      <c r="K128">
        <v>0.8790494012670931</v>
      </c>
      <c r="L128">
        <v>0.9106731035722651</v>
      </c>
      <c r="M128">
        <v>48.16</v>
      </c>
      <c r="N128">
        <v>27.93</v>
      </c>
    </row>
    <row r="129" spans="1:14">
      <c r="A129" s="1" t="s">
        <v>141</v>
      </c>
      <c r="B129">
        <f>HYPERLINK("https://www.suredividend.com/sure-analysis-research-database/","Ballys Corporation")</f>
        <v>0</v>
      </c>
      <c r="C129" t="s">
        <v>1921</v>
      </c>
      <c r="D129">
        <v>20.5</v>
      </c>
      <c r="E129">
        <v>0</v>
      </c>
      <c r="H129">
        <v>0</v>
      </c>
      <c r="I129">
        <v>1077.537318</v>
      </c>
      <c r="J129">
        <v>0</v>
      </c>
      <c r="K129" t="s">
        <v>1921</v>
      </c>
      <c r="L129">
        <v>1.380580612548752</v>
      </c>
      <c r="M129">
        <v>52.34</v>
      </c>
      <c r="N129">
        <v>17.54</v>
      </c>
    </row>
    <row r="130" spans="1:14">
      <c r="A130" s="1" t="s">
        <v>142</v>
      </c>
      <c r="B130">
        <f>HYPERLINK("https://www.suredividend.com/sure-analysis-research-database/","Banc of California Inc")</f>
        <v>0</v>
      </c>
      <c r="C130" t="s">
        <v>1923</v>
      </c>
      <c r="D130">
        <v>16.31</v>
      </c>
      <c r="E130">
        <v>0.014639101407155</v>
      </c>
      <c r="F130">
        <v>0</v>
      </c>
      <c r="G130">
        <v>-0.1432747249506905</v>
      </c>
      <c r="H130">
        <v>0.238763743950705</v>
      </c>
      <c r="I130">
        <v>970.486574</v>
      </c>
      <c r="J130">
        <v>10.16514343671443</v>
      </c>
      <c r="K130">
        <v>0.1473850271300648</v>
      </c>
      <c r="L130">
        <v>0.8074309529846221</v>
      </c>
      <c r="M130">
        <v>21.8</v>
      </c>
      <c r="N130">
        <v>15.91</v>
      </c>
    </row>
    <row r="131" spans="1:14">
      <c r="A131" s="1" t="s">
        <v>143</v>
      </c>
      <c r="B131">
        <f>HYPERLINK("https://www.suredividend.com/sure-analysis-research-database/","Bandwidth Inc")</f>
        <v>0</v>
      </c>
      <c r="C131" t="s">
        <v>1920</v>
      </c>
      <c r="D131">
        <v>10.71</v>
      </c>
      <c r="E131">
        <v>0</v>
      </c>
      <c r="H131">
        <v>0</v>
      </c>
      <c r="I131">
        <v>249.95797</v>
      </c>
      <c r="J131" t="s">
        <v>1921</v>
      </c>
      <c r="K131">
        <v>-0</v>
      </c>
      <c r="L131">
        <v>1.79573087687532</v>
      </c>
      <c r="M131">
        <v>92.63</v>
      </c>
      <c r="N131">
        <v>10.5</v>
      </c>
    </row>
    <row r="132" spans="1:14">
      <c r="A132" s="1" t="s">
        <v>144</v>
      </c>
      <c r="B132">
        <f>HYPERLINK("https://www.suredividend.com/sure-analysis-BANF/","Bancfirst Corp.")</f>
        <v>0</v>
      </c>
      <c r="C132" t="s">
        <v>1923</v>
      </c>
      <c r="D132">
        <v>90.5</v>
      </c>
      <c r="E132">
        <v>0.01591160220994475</v>
      </c>
      <c r="F132">
        <v>0.1111111111111112</v>
      </c>
      <c r="G132">
        <v>0.137543830351883</v>
      </c>
      <c r="H132">
        <v>1.471107443490009</v>
      </c>
      <c r="I132">
        <v>2962.217493</v>
      </c>
      <c r="J132">
        <v>18.8029547575219</v>
      </c>
      <c r="K132">
        <v>0.3110163728308687</v>
      </c>
      <c r="L132">
        <v>0.443798370024403</v>
      </c>
      <c r="M132">
        <v>117.56</v>
      </c>
      <c r="N132">
        <v>60.42</v>
      </c>
    </row>
    <row r="133" spans="1:14">
      <c r="A133" s="1" t="s">
        <v>145</v>
      </c>
      <c r="B133">
        <f>HYPERLINK("https://www.suredividend.com/sure-analysis-research-database/","Banner Corp.")</f>
        <v>0</v>
      </c>
      <c r="C133" t="s">
        <v>1923</v>
      </c>
      <c r="D133">
        <v>61.44</v>
      </c>
      <c r="E133">
        <v>0.027849102319744</v>
      </c>
      <c r="F133">
        <v>0.07317073170731692</v>
      </c>
      <c r="G133">
        <v>0.04683184708394994</v>
      </c>
      <c r="H133">
        <v>1.711048846525088</v>
      </c>
      <c r="I133">
        <v>2100.61996</v>
      </c>
      <c r="J133">
        <v>10.95562175832772</v>
      </c>
      <c r="K133">
        <v>0.3088535824052506</v>
      </c>
      <c r="L133">
        <v>0.7185710410122971</v>
      </c>
      <c r="M133">
        <v>65.3</v>
      </c>
      <c r="N133">
        <v>51.98</v>
      </c>
    </row>
    <row r="134" spans="1:14">
      <c r="A134" s="1" t="s">
        <v>146</v>
      </c>
      <c r="B134">
        <f>HYPERLINK("https://www.suredividend.com/sure-analysis-research-database/","Couchbase Inc")</f>
        <v>0</v>
      </c>
      <c r="C134" t="s">
        <v>1921</v>
      </c>
      <c r="D134">
        <v>13.21</v>
      </c>
      <c r="E134">
        <v>0</v>
      </c>
      <c r="H134">
        <v>0</v>
      </c>
      <c r="I134">
        <v>591.627512</v>
      </c>
      <c r="J134">
        <v>0</v>
      </c>
      <c r="K134" t="s">
        <v>1921</v>
      </c>
      <c r="L134">
        <v>2.067988737024944</v>
      </c>
      <c r="M134">
        <v>47.38</v>
      </c>
      <c r="N134">
        <v>11.68</v>
      </c>
    </row>
    <row r="135" spans="1:14">
      <c r="A135" s="1" t="s">
        <v>147</v>
      </c>
      <c r="B135">
        <f>HYPERLINK("https://www.suredividend.com/sure-analysis-research-database/","Liberty Media Corp.")</f>
        <v>0</v>
      </c>
      <c r="C135" t="s">
        <v>1931</v>
      </c>
      <c r="D135">
        <v>28.63</v>
      </c>
      <c r="E135">
        <v>0</v>
      </c>
      <c r="H135">
        <v>0</v>
      </c>
      <c r="I135">
        <v>28096.93637</v>
      </c>
      <c r="J135">
        <v>0</v>
      </c>
      <c r="K135" t="s">
        <v>1921</v>
      </c>
      <c r="L135">
        <v>0.520849440051684</v>
      </c>
      <c r="M135">
        <v>32.69</v>
      </c>
      <c r="N135">
        <v>24.5</v>
      </c>
    </row>
    <row r="136" spans="1:14">
      <c r="A136" s="1" t="s">
        <v>148</v>
      </c>
      <c r="B136">
        <f>HYPERLINK("https://www.suredividend.com/sure-analysis-research-database/","Liberty Media Corp.")</f>
        <v>0</v>
      </c>
      <c r="C136" t="s">
        <v>1931</v>
      </c>
      <c r="D136">
        <v>27.97</v>
      </c>
      <c r="E136">
        <v>0</v>
      </c>
      <c r="H136">
        <v>0</v>
      </c>
      <c r="I136">
        <v>28096.93637</v>
      </c>
      <c r="J136">
        <v>0</v>
      </c>
      <c r="K136" t="s">
        <v>1921</v>
      </c>
      <c r="L136">
        <v>0.5544967964217961</v>
      </c>
      <c r="M136">
        <v>31.27</v>
      </c>
      <c r="N136">
        <v>23.34</v>
      </c>
    </row>
    <row r="137" spans="1:14">
      <c r="A137" s="1" t="s">
        <v>149</v>
      </c>
      <c r="B137">
        <f>HYPERLINK("https://www.suredividend.com/sure-analysis-research-database/","Bed, Bath &amp; Beyond Inc.")</f>
        <v>0</v>
      </c>
      <c r="C137" t="s">
        <v>1927</v>
      </c>
      <c r="D137">
        <v>5.3</v>
      </c>
      <c r="E137">
        <v>0</v>
      </c>
      <c r="H137">
        <v>0</v>
      </c>
      <c r="I137">
        <v>425.922284</v>
      </c>
      <c r="J137" t="s">
        <v>1921</v>
      </c>
      <c r="K137">
        <v>-0</v>
      </c>
      <c r="L137">
        <v>2.041707777522334</v>
      </c>
      <c r="M137">
        <v>30.06</v>
      </c>
      <c r="N137">
        <v>4.38</v>
      </c>
    </row>
    <row r="138" spans="1:14">
      <c r="A138" s="1" t="s">
        <v>150</v>
      </c>
      <c r="B138">
        <f>HYPERLINK("https://www.suredividend.com/sure-analysis-research-database/","Concrete Pumping Holdings Inc")</f>
        <v>0</v>
      </c>
      <c r="C138" t="s">
        <v>1924</v>
      </c>
      <c r="D138">
        <v>6.38</v>
      </c>
      <c r="E138">
        <v>0</v>
      </c>
      <c r="H138">
        <v>0</v>
      </c>
      <c r="I138">
        <v>361.106935</v>
      </c>
      <c r="J138">
        <v>0</v>
      </c>
      <c r="K138" t="s">
        <v>1921</v>
      </c>
      <c r="L138">
        <v>0.6346646241935531</v>
      </c>
      <c r="M138">
        <v>9.699999999999999</v>
      </c>
      <c r="N138">
        <v>4.64</v>
      </c>
    </row>
    <row r="139" spans="1:14">
      <c r="A139" s="1" t="s">
        <v>151</v>
      </c>
      <c r="B139">
        <f>HYPERLINK("https://www.suredividend.com/sure-analysis-research-database/","BridgeBio Pharma Inc")</f>
        <v>0</v>
      </c>
      <c r="C139" t="s">
        <v>1922</v>
      </c>
      <c r="D139">
        <v>10.38</v>
      </c>
      <c r="E139">
        <v>0</v>
      </c>
      <c r="H139">
        <v>0</v>
      </c>
      <c r="I139">
        <v>1538.796687</v>
      </c>
      <c r="J139" t="s">
        <v>1921</v>
      </c>
      <c r="K139">
        <v>-0</v>
      </c>
      <c r="L139">
        <v>1.810698547035352</v>
      </c>
      <c r="M139">
        <v>53.57</v>
      </c>
      <c r="N139">
        <v>4.98</v>
      </c>
    </row>
    <row r="140" spans="1:14">
      <c r="A140" s="1" t="s">
        <v>152</v>
      </c>
      <c r="B140">
        <f>HYPERLINK("https://www.suredividend.com/sure-analysis-research-database/","Barrett Business Services Inc.")</f>
        <v>0</v>
      </c>
      <c r="C140" t="s">
        <v>1924</v>
      </c>
      <c r="D140">
        <v>79.19</v>
      </c>
      <c r="E140">
        <v>0.015067164596394</v>
      </c>
      <c r="F140">
        <v>0</v>
      </c>
      <c r="G140">
        <v>0.03713728933664817</v>
      </c>
      <c r="H140">
        <v>1.193168764388493</v>
      </c>
      <c r="I140">
        <v>561.352728</v>
      </c>
      <c r="J140">
        <v>12.80311843037975</v>
      </c>
      <c r="K140">
        <v>0.2039604725450415</v>
      </c>
      <c r="L140">
        <v>0.5609934399466321</v>
      </c>
      <c r="M140">
        <v>85.98999999999999</v>
      </c>
      <c r="N140">
        <v>57.09</v>
      </c>
    </row>
    <row r="141" spans="1:14">
      <c r="A141" s="1" t="s">
        <v>153</v>
      </c>
      <c r="B141">
        <f>HYPERLINK("https://www.suredividend.com/sure-analysis-research-database/","BioAtla Inc")</f>
        <v>0</v>
      </c>
      <c r="C141" t="s">
        <v>1921</v>
      </c>
      <c r="D141">
        <v>7.63</v>
      </c>
      <c r="E141">
        <v>0</v>
      </c>
      <c r="H141">
        <v>0</v>
      </c>
      <c r="I141">
        <v>277.000603</v>
      </c>
      <c r="J141">
        <v>0</v>
      </c>
      <c r="K141" t="s">
        <v>1921</v>
      </c>
      <c r="L141">
        <v>2.134690442571713</v>
      </c>
      <c r="M141">
        <v>31.26</v>
      </c>
      <c r="N141">
        <v>2.01</v>
      </c>
    </row>
    <row r="142" spans="1:14">
      <c r="A142" s="1" t="s">
        <v>154</v>
      </c>
      <c r="B142">
        <f>HYPERLINK("https://www.suredividend.com/sure-analysis-research-database/","Boise Cascade Co")</f>
        <v>0</v>
      </c>
      <c r="C142" t="s">
        <v>1925</v>
      </c>
      <c r="D142">
        <v>65.13</v>
      </c>
      <c r="E142">
        <v>0.007356832211506001</v>
      </c>
      <c r="F142">
        <v>0</v>
      </c>
      <c r="G142">
        <v>0.05922384104881218</v>
      </c>
      <c r="H142">
        <v>0.479150481935405</v>
      </c>
      <c r="I142">
        <v>2569.229287</v>
      </c>
      <c r="J142">
        <v>3.287624570106912</v>
      </c>
      <c r="K142">
        <v>0.02433471213486059</v>
      </c>
      <c r="L142">
        <v>1.302532412025249</v>
      </c>
      <c r="M142">
        <v>85.01000000000001</v>
      </c>
      <c r="N142">
        <v>53.52</v>
      </c>
    </row>
    <row r="143" spans="1:14">
      <c r="A143" s="1" t="s">
        <v>155</v>
      </c>
      <c r="B143">
        <f>HYPERLINK("https://www.suredividend.com/sure-analysis-research-database/","Atreca Inc")</f>
        <v>0</v>
      </c>
      <c r="C143" t="s">
        <v>1922</v>
      </c>
      <c r="D143">
        <v>1.59</v>
      </c>
      <c r="E143">
        <v>0</v>
      </c>
      <c r="H143">
        <v>0</v>
      </c>
      <c r="I143">
        <v>50.682832</v>
      </c>
      <c r="J143">
        <v>0</v>
      </c>
      <c r="K143" t="s">
        <v>1921</v>
      </c>
      <c r="L143">
        <v>1.51409181756333</v>
      </c>
      <c r="M143">
        <v>6.51</v>
      </c>
      <c r="N143">
        <v>1.5</v>
      </c>
    </row>
    <row r="144" spans="1:14">
      <c r="A144" s="1" t="s">
        <v>156</v>
      </c>
      <c r="B144">
        <f>HYPERLINK("https://www.suredividend.com/sure-analysis-research-database/","Brink`s Co.")</f>
        <v>0</v>
      </c>
      <c r="C144" t="s">
        <v>1924</v>
      </c>
      <c r="D144">
        <v>56.76</v>
      </c>
      <c r="E144">
        <v>0.014022435401636</v>
      </c>
      <c r="F144">
        <v>0</v>
      </c>
      <c r="G144">
        <v>0.05922384104881218</v>
      </c>
      <c r="H144">
        <v>0.7959134333969</v>
      </c>
      <c r="I144">
        <v>2681.520059</v>
      </c>
      <c r="J144">
        <v>15.32297176457143</v>
      </c>
      <c r="K144">
        <v>0.2223221880996927</v>
      </c>
      <c r="L144">
        <v>0.8001869273994351</v>
      </c>
      <c r="M144">
        <v>72.69</v>
      </c>
      <c r="N144">
        <v>48.38</v>
      </c>
    </row>
    <row r="145" spans="1:14">
      <c r="A145" s="1" t="s">
        <v>157</v>
      </c>
      <c r="B145">
        <f>HYPERLINK("https://www.suredividend.com/sure-analysis-research-database/","Blucora Inc")</f>
        <v>0</v>
      </c>
      <c r="C145" t="s">
        <v>1923</v>
      </c>
      <c r="D145">
        <v>20.75</v>
      </c>
      <c r="E145">
        <v>0</v>
      </c>
      <c r="H145">
        <v>0</v>
      </c>
      <c r="I145">
        <v>990.733152</v>
      </c>
      <c r="J145">
        <v>43.93884832357637</v>
      </c>
      <c r="K145">
        <v>0</v>
      </c>
      <c r="L145">
        <v>0.805192355827104</v>
      </c>
      <c r="M145">
        <v>23.36</v>
      </c>
      <c r="N145">
        <v>15.1</v>
      </c>
    </row>
    <row r="146" spans="1:14">
      <c r="A146" s="1" t="s">
        <v>158</v>
      </c>
      <c r="B146">
        <f>HYPERLINK("https://www.suredividend.com/sure-analysis-research-database/","Brightcove Inc")</f>
        <v>0</v>
      </c>
      <c r="C146" t="s">
        <v>1920</v>
      </c>
      <c r="D146">
        <v>6.35</v>
      </c>
      <c r="E146">
        <v>0</v>
      </c>
      <c r="H146">
        <v>0</v>
      </c>
      <c r="I146">
        <v>266.052071</v>
      </c>
      <c r="J146" t="s">
        <v>1921</v>
      </c>
      <c r="K146">
        <v>-0</v>
      </c>
      <c r="L146">
        <v>0.902552267541015</v>
      </c>
      <c r="M146">
        <v>12.46</v>
      </c>
      <c r="N146">
        <v>5.84</v>
      </c>
    </row>
    <row r="147" spans="1:14">
      <c r="A147" s="1" t="s">
        <v>159</v>
      </c>
      <c r="B147">
        <f>HYPERLINK("https://www.suredividend.com/sure-analysis-research-database/","Balchem Corp.")</f>
        <v>0</v>
      </c>
      <c r="C147" t="s">
        <v>1925</v>
      </c>
      <c r="D147">
        <v>123.49</v>
      </c>
      <c r="E147">
        <v>0.005182605763178001</v>
      </c>
      <c r="H147">
        <v>0.639999985694885</v>
      </c>
      <c r="I147">
        <v>3966.57203</v>
      </c>
      <c r="J147">
        <v>36.49973341894106</v>
      </c>
      <c r="K147">
        <v>0.1916167621840973</v>
      </c>
      <c r="L147">
        <v>0.757536906644094</v>
      </c>
      <c r="M147">
        <v>173.8</v>
      </c>
      <c r="N147">
        <v>110.15</v>
      </c>
    </row>
    <row r="148" spans="1:14">
      <c r="A148" s="1" t="s">
        <v>160</v>
      </c>
      <c r="B148">
        <f>HYPERLINK("https://www.suredividend.com/sure-analysis-research-database/","Biocryst Pharmaceuticals Inc.")</f>
        <v>0</v>
      </c>
      <c r="C148" t="s">
        <v>1922</v>
      </c>
      <c r="D148">
        <v>13.69</v>
      </c>
      <c r="E148">
        <v>0</v>
      </c>
      <c r="H148">
        <v>0</v>
      </c>
      <c r="I148">
        <v>2545.587269</v>
      </c>
      <c r="J148" t="s">
        <v>1921</v>
      </c>
      <c r="K148">
        <v>-0</v>
      </c>
      <c r="L148">
        <v>1.302764722963234</v>
      </c>
      <c r="M148">
        <v>19.99</v>
      </c>
      <c r="N148">
        <v>7.61</v>
      </c>
    </row>
    <row r="149" spans="1:14">
      <c r="A149" s="1" t="s">
        <v>161</v>
      </c>
      <c r="B149">
        <f>HYPERLINK("https://www.suredividend.com/sure-analysis-research-database/","Belden Inc")</f>
        <v>0</v>
      </c>
      <c r="C149" t="s">
        <v>1924</v>
      </c>
      <c r="D149">
        <v>62.97</v>
      </c>
      <c r="E149">
        <v>0.003172064603251</v>
      </c>
      <c r="F149">
        <v>0</v>
      </c>
      <c r="G149">
        <v>0</v>
      </c>
      <c r="H149">
        <v>0.199744908066722</v>
      </c>
      <c r="I149">
        <v>2740.754389</v>
      </c>
      <c r="J149">
        <v>31.90745182113461</v>
      </c>
      <c r="K149">
        <v>0.1056851365432392</v>
      </c>
      <c r="L149">
        <v>1.233205368102079</v>
      </c>
      <c r="M149">
        <v>70.92</v>
      </c>
      <c r="N149">
        <v>47.85</v>
      </c>
    </row>
    <row r="150" spans="1:14">
      <c r="A150" s="1" t="s">
        <v>162</v>
      </c>
      <c r="B150">
        <f>HYPERLINK("https://www.suredividend.com/sure-analysis-BDN/","Brandywine Realty Trust")</f>
        <v>0</v>
      </c>
      <c r="C150" t="s">
        <v>1929</v>
      </c>
      <c r="D150">
        <v>6.09</v>
      </c>
      <c r="E150">
        <v>0.1247947454844007</v>
      </c>
      <c r="F150">
        <v>0</v>
      </c>
      <c r="G150">
        <v>0.01087212085035083</v>
      </c>
      <c r="H150">
        <v>0.742343827116961</v>
      </c>
      <c r="I150">
        <v>1044.860125</v>
      </c>
      <c r="J150">
        <v>65.97172146925116</v>
      </c>
      <c r="K150">
        <v>8.10419025236857</v>
      </c>
      <c r="L150">
        <v>0.91914004969185</v>
      </c>
      <c r="M150">
        <v>14.29</v>
      </c>
      <c r="N150">
        <v>6.05</v>
      </c>
    </row>
    <row r="151" spans="1:14">
      <c r="A151" s="1" t="s">
        <v>163</v>
      </c>
      <c r="B151">
        <f>HYPERLINK("https://www.suredividend.com/sure-analysis-research-database/","Biodesix Inc")</f>
        <v>0</v>
      </c>
      <c r="C151" t="s">
        <v>1921</v>
      </c>
      <c r="D151">
        <v>1.32</v>
      </c>
      <c r="E151">
        <v>0</v>
      </c>
      <c r="H151">
        <v>0</v>
      </c>
      <c r="I151">
        <v>52.776303</v>
      </c>
      <c r="J151">
        <v>0</v>
      </c>
      <c r="K151" t="s">
        <v>1921</v>
      </c>
      <c r="L151">
        <v>1.168089892572066</v>
      </c>
      <c r="M151">
        <v>8.34</v>
      </c>
      <c r="N151">
        <v>1.17</v>
      </c>
    </row>
    <row r="152" spans="1:14">
      <c r="A152" s="1" t="s">
        <v>164</v>
      </c>
      <c r="B152">
        <f>HYPERLINK("https://www.suredividend.com/sure-analysis-research-database/","Black Diamond Therapeutics Inc")</f>
        <v>0</v>
      </c>
      <c r="C152" t="s">
        <v>1922</v>
      </c>
      <c r="D152">
        <v>1.43</v>
      </c>
      <c r="E152">
        <v>0</v>
      </c>
      <c r="H152">
        <v>0</v>
      </c>
      <c r="I152">
        <v>51.965436</v>
      </c>
      <c r="J152">
        <v>0</v>
      </c>
      <c r="K152" t="s">
        <v>1921</v>
      </c>
      <c r="L152">
        <v>1.321519907902759</v>
      </c>
      <c r="M152">
        <v>8.710000000000001</v>
      </c>
      <c r="N152">
        <v>1.43</v>
      </c>
    </row>
    <row r="153" spans="1:14">
      <c r="A153" s="1" t="s">
        <v>165</v>
      </c>
      <c r="B153">
        <f>HYPERLINK("https://www.suredividend.com/sure-analysis-research-database/","Bloom Energy Corp")</f>
        <v>0</v>
      </c>
      <c r="C153" t="s">
        <v>1924</v>
      </c>
      <c r="D153">
        <v>17.5</v>
      </c>
      <c r="E153">
        <v>0</v>
      </c>
      <c r="H153">
        <v>0</v>
      </c>
      <c r="I153">
        <v>2857.653803</v>
      </c>
      <c r="J153" t="s">
        <v>1921</v>
      </c>
      <c r="K153">
        <v>-0</v>
      </c>
      <c r="L153">
        <v>2.020735948104701</v>
      </c>
      <c r="M153">
        <v>37.01</v>
      </c>
      <c r="N153">
        <v>11.47</v>
      </c>
    </row>
    <row r="154" spans="1:14">
      <c r="A154" s="1" t="s">
        <v>166</v>
      </c>
      <c r="B154">
        <f>HYPERLINK("https://www.suredividend.com/sure-analysis-research-database/","Beam Therapeutics Inc")</f>
        <v>0</v>
      </c>
      <c r="C154" t="s">
        <v>1922</v>
      </c>
      <c r="D154">
        <v>46.67</v>
      </c>
      <c r="E154">
        <v>0</v>
      </c>
      <c r="H154">
        <v>0</v>
      </c>
      <c r="I154">
        <v>3283.448902</v>
      </c>
      <c r="J154" t="s">
        <v>1921</v>
      </c>
      <c r="K154">
        <v>-0</v>
      </c>
      <c r="L154">
        <v>2.346317773699776</v>
      </c>
      <c r="M154">
        <v>100.06</v>
      </c>
      <c r="N154">
        <v>27.77</v>
      </c>
    </row>
    <row r="155" spans="1:14">
      <c r="A155" s="1" t="s">
        <v>167</v>
      </c>
      <c r="B155">
        <f>HYPERLINK("https://www.suredividend.com/sure-analysis-research-database/","Beacon Roofing Supply Inc")</f>
        <v>0</v>
      </c>
      <c r="C155" t="s">
        <v>1924</v>
      </c>
      <c r="D155">
        <v>58.54</v>
      </c>
      <c r="E155">
        <v>0</v>
      </c>
      <c r="H155">
        <v>0</v>
      </c>
      <c r="I155">
        <v>3805.217139</v>
      </c>
      <c r="J155">
        <v>9.817381678379771</v>
      </c>
      <c r="K155">
        <v>0</v>
      </c>
      <c r="L155">
        <v>1.002617490974702</v>
      </c>
      <c r="M155">
        <v>65.3</v>
      </c>
      <c r="N155">
        <v>45.71</v>
      </c>
    </row>
    <row r="156" spans="1:14">
      <c r="A156" s="1" t="s">
        <v>168</v>
      </c>
      <c r="B156">
        <f>HYPERLINK("https://www.suredividend.com/sure-analysis-research-database/","Beam Global")</f>
        <v>0</v>
      </c>
      <c r="C156" t="s">
        <v>1921</v>
      </c>
      <c r="D156">
        <v>11.65</v>
      </c>
      <c r="E156">
        <v>0</v>
      </c>
      <c r="H156">
        <v>0</v>
      </c>
      <c r="I156">
        <v>117.613297</v>
      </c>
      <c r="J156">
        <v>0</v>
      </c>
      <c r="K156" t="s">
        <v>1921</v>
      </c>
      <c r="L156">
        <v>1.70497233556521</v>
      </c>
      <c r="M156">
        <v>39.39</v>
      </c>
      <c r="N156">
        <v>10.19</v>
      </c>
    </row>
    <row r="157" spans="1:14">
      <c r="A157" s="1" t="s">
        <v>169</v>
      </c>
      <c r="B157">
        <f>HYPERLINK("https://www.suredividend.com/sure-analysis-research-database/","Bank First Corp")</f>
        <v>0</v>
      </c>
      <c r="C157" t="s">
        <v>1923</v>
      </c>
      <c r="D157">
        <v>76.84999999999999</v>
      </c>
      <c r="E157">
        <v>0.011805994016435</v>
      </c>
      <c r="F157">
        <v>-0.1379310344827586</v>
      </c>
      <c r="G157">
        <v>0.09336207394327811</v>
      </c>
      <c r="H157">
        <v>0.907290640163063</v>
      </c>
      <c r="I157">
        <v>573.419656</v>
      </c>
      <c r="J157">
        <v>0</v>
      </c>
      <c r="K157" t="s">
        <v>1921</v>
      </c>
      <c r="L157">
        <v>0.3939777066419901</v>
      </c>
      <c r="M157">
        <v>82.40000000000001</v>
      </c>
      <c r="N157">
        <v>66.97</v>
      </c>
    </row>
    <row r="158" spans="1:14">
      <c r="A158" s="1" t="s">
        <v>170</v>
      </c>
      <c r="B158">
        <f>HYPERLINK("https://www.suredividend.com/sure-analysis-research-database/","Butterfly Network Inc")</f>
        <v>0</v>
      </c>
      <c r="C158" t="s">
        <v>1921</v>
      </c>
      <c r="D158">
        <v>4.52</v>
      </c>
      <c r="E158">
        <v>0</v>
      </c>
      <c r="H158">
        <v>0</v>
      </c>
      <c r="I158">
        <v>782.483547</v>
      </c>
      <c r="J158">
        <v>0</v>
      </c>
      <c r="K158" t="s">
        <v>1921</v>
      </c>
      <c r="L158">
        <v>2.164225755587209</v>
      </c>
      <c r="M158">
        <v>11.53</v>
      </c>
      <c r="N158">
        <v>2.31</v>
      </c>
    </row>
    <row r="159" spans="1:14">
      <c r="A159" s="1" t="s">
        <v>171</v>
      </c>
      <c r="B159">
        <f>HYPERLINK("https://www.suredividend.com/sure-analysis-BFS/","Saul Centers, Inc.")</f>
        <v>0</v>
      </c>
      <c r="C159" t="s">
        <v>1929</v>
      </c>
      <c r="D159">
        <v>36.48</v>
      </c>
      <c r="E159">
        <v>0.06469298245614036</v>
      </c>
      <c r="F159">
        <v>0.07272727272727253</v>
      </c>
      <c r="G159">
        <v>0.02957115609465299</v>
      </c>
      <c r="H159">
        <v>2.241334047981532</v>
      </c>
      <c r="I159">
        <v>871.169979</v>
      </c>
      <c r="J159">
        <v>21.47431421021495</v>
      </c>
      <c r="K159">
        <v>1.318431792930313</v>
      </c>
      <c r="L159">
        <v>0.7965198441958751</v>
      </c>
      <c r="M159">
        <v>55.52</v>
      </c>
      <c r="N159">
        <v>36.21</v>
      </c>
    </row>
    <row r="160" spans="1:14">
      <c r="A160" s="1" t="s">
        <v>172</v>
      </c>
      <c r="B160">
        <f>HYPERLINK("https://www.suredividend.com/sure-analysis-research-database/","Business First Bancshares Inc.")</f>
        <v>0</v>
      </c>
      <c r="C160" t="s">
        <v>1923</v>
      </c>
      <c r="D160">
        <v>21.92</v>
      </c>
      <c r="E160">
        <v>0.021733794140601</v>
      </c>
      <c r="H160">
        <v>0.476404767561988</v>
      </c>
      <c r="I160">
        <v>494.941566</v>
      </c>
      <c r="J160">
        <v>0</v>
      </c>
      <c r="K160" t="s">
        <v>1921</v>
      </c>
      <c r="L160">
        <v>0.6499042642607741</v>
      </c>
      <c r="M160">
        <v>29.07</v>
      </c>
      <c r="N160">
        <v>20.09</v>
      </c>
    </row>
    <row r="161" spans="1:14">
      <c r="A161" s="1" t="s">
        <v>173</v>
      </c>
      <c r="B161">
        <f>HYPERLINK("https://www.suredividend.com/sure-analysis-research-database/","BGC Partners Inc")</f>
        <v>0</v>
      </c>
      <c r="C161" t="s">
        <v>1923</v>
      </c>
      <c r="D161">
        <v>3.77</v>
      </c>
      <c r="E161">
        <v>0.010568527729468</v>
      </c>
      <c r="F161">
        <v>0</v>
      </c>
      <c r="G161">
        <v>-0.4390224272769002</v>
      </c>
      <c r="H161">
        <v>0.039843349540095</v>
      </c>
      <c r="I161">
        <v>1234.273834</v>
      </c>
      <c r="J161">
        <v>11.92754065287348</v>
      </c>
      <c r="K161">
        <v>0.1972443046539356</v>
      </c>
      <c r="L161">
        <v>1.138776336696027</v>
      </c>
      <c r="M161">
        <v>5.58</v>
      </c>
      <c r="N161">
        <v>2.99</v>
      </c>
    </row>
    <row r="162" spans="1:14">
      <c r="A162" s="1" t="s">
        <v>174</v>
      </c>
      <c r="B162">
        <f>HYPERLINK("https://www.suredividend.com/sure-analysis-research-database/","Big 5 Sporting Goods Corp")</f>
        <v>0</v>
      </c>
      <c r="C162" t="s">
        <v>1927</v>
      </c>
      <c r="D162">
        <v>10.7</v>
      </c>
      <c r="E162">
        <v>0.091712300228993</v>
      </c>
      <c r="F162">
        <v>-0.75</v>
      </c>
      <c r="G162">
        <v>0.1075663432482901</v>
      </c>
      <c r="H162">
        <v>0.9813216124502351</v>
      </c>
      <c r="I162">
        <v>237.278813</v>
      </c>
      <c r="J162">
        <v>3.822515272094596</v>
      </c>
      <c r="K162">
        <v>0.3529933857734658</v>
      </c>
      <c r="L162">
        <v>1.210672051255598</v>
      </c>
      <c r="M162">
        <v>44.23</v>
      </c>
      <c r="N162">
        <v>10.18</v>
      </c>
    </row>
    <row r="163" spans="1:14">
      <c r="A163" s="1" t="s">
        <v>175</v>
      </c>
      <c r="B163">
        <f>HYPERLINK("https://www.suredividend.com/sure-analysis-BGS/","B&amp;G Foods, Inc")</f>
        <v>0</v>
      </c>
      <c r="C163" t="s">
        <v>1928</v>
      </c>
      <c r="D163">
        <v>15.07</v>
      </c>
      <c r="E163">
        <v>0.126078301260783</v>
      </c>
      <c r="F163">
        <v>0</v>
      </c>
      <c r="G163">
        <v>0.004264547100649496</v>
      </c>
      <c r="H163">
        <v>1.837543841651482</v>
      </c>
      <c r="I163">
        <v>1080.055989</v>
      </c>
      <c r="J163">
        <v>27.10575689705366</v>
      </c>
      <c r="K163">
        <v>3.131999048323644</v>
      </c>
      <c r="L163">
        <v>0.436288773587206</v>
      </c>
      <c r="M163">
        <v>32.18</v>
      </c>
      <c r="N163">
        <v>14.72</v>
      </c>
    </row>
    <row r="164" spans="1:14">
      <c r="A164" s="1" t="s">
        <v>176</v>
      </c>
      <c r="B164">
        <f>HYPERLINK("https://www.suredividend.com/sure-analysis-research-database/","Biglari Holdings Inc.")</f>
        <v>0</v>
      </c>
      <c r="C164" t="s">
        <v>1927</v>
      </c>
      <c r="D164">
        <v>128</v>
      </c>
      <c r="E164">
        <v>0</v>
      </c>
      <c r="H164">
        <v>0</v>
      </c>
      <c r="I164">
        <v>390.354457</v>
      </c>
      <c r="J164" t="s">
        <v>1921</v>
      </c>
      <c r="K164">
        <v>-0</v>
      </c>
      <c r="L164">
        <v>0.6316354182758851</v>
      </c>
      <c r="M164">
        <v>176.72</v>
      </c>
      <c r="N164">
        <v>110.56</v>
      </c>
    </row>
    <row r="165" spans="1:14">
      <c r="A165" s="1" t="s">
        <v>177</v>
      </c>
      <c r="B165">
        <f>HYPERLINK("https://www.suredividend.com/sure-analysis-BHB/","Bar Harbor Bankshares Inc")</f>
        <v>0</v>
      </c>
      <c r="C165" t="s">
        <v>1923</v>
      </c>
      <c r="D165">
        <v>26.67</v>
      </c>
      <c r="E165">
        <v>0.03899512560929884</v>
      </c>
      <c r="F165">
        <v>0.08333333333333348</v>
      </c>
      <c r="G165">
        <v>0.0684785450735903</v>
      </c>
      <c r="H165">
        <v>0.9869247544380061</v>
      </c>
      <c r="I165">
        <v>400.386202</v>
      </c>
      <c r="J165">
        <v>0</v>
      </c>
      <c r="K165" t="s">
        <v>1921</v>
      </c>
      <c r="L165">
        <v>0.6918005865251</v>
      </c>
      <c r="M165">
        <v>31.82</v>
      </c>
      <c r="N165">
        <v>23.79</v>
      </c>
    </row>
    <row r="166" spans="1:14">
      <c r="A166" s="1" t="s">
        <v>178</v>
      </c>
      <c r="B166">
        <f>HYPERLINK("https://www.suredividend.com/sure-analysis-research-database/","Benchmark Electronics Inc.")</f>
        <v>0</v>
      </c>
      <c r="C166" t="s">
        <v>1920</v>
      </c>
      <c r="D166">
        <v>25.48</v>
      </c>
      <c r="E166">
        <v>0.025642651444594</v>
      </c>
      <c r="H166">
        <v>0.653374758808255</v>
      </c>
      <c r="I166">
        <v>895.86564</v>
      </c>
      <c r="J166">
        <v>18.40882851659304</v>
      </c>
      <c r="K166">
        <v>0.4769158823417919</v>
      </c>
      <c r="L166">
        <v>0.774858999113464</v>
      </c>
      <c r="M166">
        <v>28.92</v>
      </c>
      <c r="N166">
        <v>20.97</v>
      </c>
    </row>
    <row r="167" spans="1:14">
      <c r="A167" s="1" t="s">
        <v>179</v>
      </c>
      <c r="B167">
        <f>HYPERLINK("https://www.suredividend.com/sure-analysis-research-database/","Bright Health Group Inc")</f>
        <v>0</v>
      </c>
      <c r="C167" t="s">
        <v>1921</v>
      </c>
      <c r="D167">
        <v>0.91</v>
      </c>
      <c r="E167">
        <v>0</v>
      </c>
      <c r="H167">
        <v>0</v>
      </c>
      <c r="I167">
        <v>573.026039</v>
      </c>
      <c r="J167">
        <v>0</v>
      </c>
      <c r="K167" t="s">
        <v>1921</v>
      </c>
      <c r="L167">
        <v>1.997785693567648</v>
      </c>
      <c r="M167">
        <v>9.58</v>
      </c>
      <c r="N167">
        <v>0.9</v>
      </c>
    </row>
    <row r="168" spans="1:14">
      <c r="A168" s="1" t="s">
        <v>180</v>
      </c>
      <c r="B168">
        <f>HYPERLINK("https://www.suredividend.com/sure-analysis-research-database/","Berkshire Hills Bancorp Inc.")</f>
        <v>0</v>
      </c>
      <c r="C168" t="s">
        <v>1923</v>
      </c>
      <c r="D168">
        <v>27.95</v>
      </c>
      <c r="E168">
        <v>0.017062840385982</v>
      </c>
      <c r="F168">
        <v>0</v>
      </c>
      <c r="G168">
        <v>-0.1058870393420188</v>
      </c>
      <c r="H168">
        <v>0.4769063887882</v>
      </c>
      <c r="I168">
        <v>1276.492292</v>
      </c>
      <c r="J168">
        <v>10.02680343536934</v>
      </c>
      <c r="K168">
        <v>0.1792881160857895</v>
      </c>
      <c r="L168">
        <v>0.756111979668712</v>
      </c>
      <c r="M168">
        <v>31.38</v>
      </c>
      <c r="N168">
        <v>23.52</v>
      </c>
    </row>
    <row r="169" spans="1:14">
      <c r="A169" s="1" t="s">
        <v>181</v>
      </c>
      <c r="B169">
        <f>HYPERLINK("https://www.suredividend.com/sure-analysis-research-database/","Braemar Hotels &amp; Resorts Inc")</f>
        <v>0</v>
      </c>
      <c r="C169" t="s">
        <v>1929</v>
      </c>
      <c r="D169">
        <v>4.25</v>
      </c>
      <c r="E169">
        <v>0.007043103714947</v>
      </c>
      <c r="H169">
        <v>0.029933190788527</v>
      </c>
      <c r="I169">
        <v>303.700346</v>
      </c>
      <c r="J169">
        <v>36.31041920731708</v>
      </c>
      <c r="K169">
        <v>0.2869912827279674</v>
      </c>
      <c r="L169">
        <v>1.328855779908878</v>
      </c>
      <c r="M169">
        <v>6.61</v>
      </c>
      <c r="N169">
        <v>4.05</v>
      </c>
    </row>
    <row r="170" spans="1:14">
      <c r="A170" s="1" t="s">
        <v>182</v>
      </c>
      <c r="B170">
        <f>HYPERLINK("https://www.suredividend.com/sure-analysis-research-database/","Biohaven Ltd")</f>
        <v>0</v>
      </c>
      <c r="C170" t="s">
        <v>1922</v>
      </c>
      <c r="D170">
        <v>10.94</v>
      </c>
      <c r="E170">
        <v>0</v>
      </c>
      <c r="H170">
        <v>0</v>
      </c>
      <c r="I170">
        <v>0</v>
      </c>
      <c r="J170">
        <v>0</v>
      </c>
      <c r="K170" t="s">
        <v>1921</v>
      </c>
      <c r="M170">
        <v>14.34</v>
      </c>
      <c r="N170">
        <v>5.54</v>
      </c>
    </row>
    <row r="171" spans="1:14">
      <c r="A171" s="1" t="s">
        <v>183</v>
      </c>
      <c r="B171">
        <f>HYPERLINK("https://www.suredividend.com/sure-analysis-BIG/","Big Lots Inc")</f>
        <v>0</v>
      </c>
      <c r="C171" t="s">
        <v>1928</v>
      </c>
      <c r="D171">
        <v>17.32</v>
      </c>
      <c r="E171">
        <v>0.06928406466512702</v>
      </c>
      <c r="F171">
        <v>0</v>
      </c>
      <c r="G171">
        <v>0.03713728933664817</v>
      </c>
      <c r="H171">
        <v>1.178667459762283</v>
      </c>
      <c r="I171">
        <v>501.273535</v>
      </c>
      <c r="J171" t="s">
        <v>1921</v>
      </c>
      <c r="K171" t="s">
        <v>1921</v>
      </c>
      <c r="L171">
        <v>1.290828488773059</v>
      </c>
      <c r="M171">
        <v>50.03</v>
      </c>
      <c r="N171">
        <v>15.19</v>
      </c>
    </row>
    <row r="172" spans="1:14">
      <c r="A172" s="1" t="s">
        <v>184</v>
      </c>
      <c r="B172">
        <f>HYPERLINK("https://www.suredividend.com/sure-analysis-research-database/","BigCommerce Holdings Inc")</f>
        <v>0</v>
      </c>
      <c r="C172" t="s">
        <v>1921</v>
      </c>
      <c r="D172">
        <v>13.65</v>
      </c>
      <c r="E172">
        <v>0</v>
      </c>
      <c r="H172">
        <v>0</v>
      </c>
      <c r="I172">
        <v>1001.583697</v>
      </c>
      <c r="J172">
        <v>0</v>
      </c>
      <c r="K172" t="s">
        <v>1921</v>
      </c>
      <c r="L172">
        <v>2.305428432708617</v>
      </c>
      <c r="M172">
        <v>64.14</v>
      </c>
      <c r="N172">
        <v>12.71</v>
      </c>
    </row>
    <row r="173" spans="1:14">
      <c r="A173" s="1" t="s">
        <v>185</v>
      </c>
      <c r="B173">
        <f>HYPERLINK("https://www.suredividend.com/sure-analysis-research-database/","Brookfield Infrastructure Corp")</f>
        <v>0</v>
      </c>
      <c r="C173" t="s">
        <v>1923</v>
      </c>
      <c r="D173">
        <v>38.72</v>
      </c>
      <c r="E173">
        <v>0.038670397428326</v>
      </c>
      <c r="H173">
        <v>1.497317788424813</v>
      </c>
      <c r="I173">
        <v>4278.772263</v>
      </c>
      <c r="J173">
        <v>0</v>
      </c>
      <c r="K173" t="s">
        <v>1921</v>
      </c>
      <c r="L173">
        <v>0.5659247548367621</v>
      </c>
      <c r="M173">
        <v>52.85</v>
      </c>
      <c r="N173">
        <v>37.28</v>
      </c>
    </row>
    <row r="174" spans="1:14">
      <c r="A174" s="1" t="s">
        <v>186</v>
      </c>
      <c r="B174">
        <f>HYPERLINK("https://www.suredividend.com/sure-analysis-research-database/","BJ`s Wholesale Club Holdings Inc")</f>
        <v>0</v>
      </c>
      <c r="C174" t="s">
        <v>1928</v>
      </c>
      <c r="D174">
        <v>69.73</v>
      </c>
      <c r="E174">
        <v>0</v>
      </c>
      <c r="H174">
        <v>0</v>
      </c>
      <c r="I174">
        <v>9418.358302000001</v>
      </c>
      <c r="J174">
        <v>19.31804501331168</v>
      </c>
      <c r="K174">
        <v>0</v>
      </c>
      <c r="L174">
        <v>0.75684429857335</v>
      </c>
      <c r="M174">
        <v>79.69</v>
      </c>
      <c r="N174">
        <v>51.45</v>
      </c>
    </row>
    <row r="175" spans="1:14">
      <c r="A175" s="1" t="s">
        <v>187</v>
      </c>
      <c r="B175">
        <f>HYPERLINK("https://www.suredividend.com/sure-analysis-research-database/","BJ`s Restaurant Inc.")</f>
        <v>0</v>
      </c>
      <c r="C175" t="s">
        <v>1927</v>
      </c>
      <c r="D175">
        <v>24.41</v>
      </c>
      <c r="E175">
        <v>0</v>
      </c>
      <c r="H175">
        <v>0</v>
      </c>
      <c r="I175">
        <v>572.515484</v>
      </c>
      <c r="J175" t="s">
        <v>1921</v>
      </c>
      <c r="K175">
        <v>-0</v>
      </c>
      <c r="L175">
        <v>1.351921812914088</v>
      </c>
      <c r="M175">
        <v>39.81</v>
      </c>
      <c r="N175">
        <v>20.15</v>
      </c>
    </row>
    <row r="176" spans="1:14">
      <c r="A176" s="1" t="s">
        <v>188</v>
      </c>
      <c r="B176">
        <f>HYPERLINK("https://www.suredividend.com/sure-analysis-research-database/","Brookdale Senior Living Inc")</f>
        <v>0</v>
      </c>
      <c r="C176" t="s">
        <v>1922</v>
      </c>
      <c r="D176">
        <v>4.55</v>
      </c>
      <c r="E176">
        <v>0</v>
      </c>
      <c r="H176">
        <v>0</v>
      </c>
      <c r="I176">
        <v>849.872496</v>
      </c>
      <c r="J176" t="s">
        <v>1921</v>
      </c>
      <c r="K176">
        <v>-0</v>
      </c>
      <c r="L176">
        <v>0.9066350014127731</v>
      </c>
      <c r="M176">
        <v>7.7</v>
      </c>
      <c r="N176">
        <v>3.87</v>
      </c>
    </row>
    <row r="177" spans="1:14">
      <c r="A177" s="1" t="s">
        <v>189</v>
      </c>
      <c r="B177">
        <f>HYPERLINK("https://www.suredividend.com/sure-analysis-research-database/","Buckle, Inc.")</f>
        <v>0</v>
      </c>
      <c r="C177" t="s">
        <v>1927</v>
      </c>
      <c r="D177">
        <v>33.6</v>
      </c>
      <c r="E177">
        <v>0.04039428712194</v>
      </c>
      <c r="F177">
        <v>0.06060606060606055</v>
      </c>
      <c r="G177">
        <v>0.06961037572506878</v>
      </c>
      <c r="H177">
        <v>1.357248047297201</v>
      </c>
      <c r="I177">
        <v>1683.183634</v>
      </c>
      <c r="J177">
        <v>6.691780835685605</v>
      </c>
      <c r="K177">
        <v>0.267174812460079</v>
      </c>
      <c r="L177">
        <v>1.240426240622835</v>
      </c>
      <c r="M177">
        <v>55.35</v>
      </c>
      <c r="N177">
        <v>26.22</v>
      </c>
    </row>
    <row r="178" spans="1:14">
      <c r="A178" s="1" t="s">
        <v>190</v>
      </c>
      <c r="B178">
        <f>HYPERLINK("https://www.suredividend.com/sure-analysis-BKH/","Black Hills Corporation")</f>
        <v>0</v>
      </c>
      <c r="C178" t="s">
        <v>1930</v>
      </c>
      <c r="D178">
        <v>65.27</v>
      </c>
      <c r="E178">
        <v>0.03646391910525509</v>
      </c>
      <c r="F178">
        <v>0.05309734513274322</v>
      </c>
      <c r="G178">
        <v>0.04607945159112314</v>
      </c>
      <c r="H178">
        <v>2.352131293312287</v>
      </c>
      <c r="I178">
        <v>4231.664465</v>
      </c>
      <c r="J178">
        <v>15.89608300731007</v>
      </c>
      <c r="K178">
        <v>0.5681476553894413</v>
      </c>
      <c r="L178">
        <v>0.403820982538045</v>
      </c>
      <c r="M178">
        <v>79.78</v>
      </c>
      <c r="N178">
        <v>60.72</v>
      </c>
    </row>
    <row r="179" spans="1:14">
      <c r="A179" s="1" t="s">
        <v>191</v>
      </c>
      <c r="B179">
        <f>HYPERLINK("https://www.suredividend.com/sure-analysis-research-database/","BankUnited Inc")</f>
        <v>0</v>
      </c>
      <c r="C179" t="s">
        <v>1923</v>
      </c>
      <c r="D179">
        <v>35.43</v>
      </c>
      <c r="E179">
        <v>0.026845963783788</v>
      </c>
      <c r="F179">
        <v>0.08695652173913038</v>
      </c>
      <c r="G179">
        <v>0.03548578845590522</v>
      </c>
      <c r="H179">
        <v>0.9511524968596141</v>
      </c>
      <c r="I179">
        <v>2760.796939</v>
      </c>
      <c r="J179">
        <v>8.125224596254645</v>
      </c>
      <c r="K179">
        <v>0.2383840844259685</v>
      </c>
      <c r="L179">
        <v>0.9433118077485321</v>
      </c>
      <c r="M179">
        <v>45.92</v>
      </c>
      <c r="N179">
        <v>33.54</v>
      </c>
    </row>
    <row r="180" spans="1:14">
      <c r="A180" s="1" t="s">
        <v>192</v>
      </c>
      <c r="B180">
        <f>HYPERLINK("https://www.suredividend.com/sure-analysis-research-database/","BlackLine Inc")</f>
        <v>0</v>
      </c>
      <c r="C180" t="s">
        <v>1920</v>
      </c>
      <c r="D180">
        <v>60.14</v>
      </c>
      <c r="E180">
        <v>0</v>
      </c>
      <c r="H180">
        <v>0</v>
      </c>
      <c r="I180">
        <v>3586.171354</v>
      </c>
      <c r="J180" t="s">
        <v>1921</v>
      </c>
      <c r="K180">
        <v>-0</v>
      </c>
      <c r="L180">
        <v>1.456910745949119</v>
      </c>
      <c r="M180">
        <v>135</v>
      </c>
      <c r="N180">
        <v>49.66</v>
      </c>
    </row>
    <row r="181" spans="1:14">
      <c r="A181" s="1" t="s">
        <v>193</v>
      </c>
      <c r="B181">
        <f>HYPERLINK("https://www.suredividend.com/sure-analysis-research-database/","Blue Bird Corp")</f>
        <v>0</v>
      </c>
      <c r="C181" t="s">
        <v>1927</v>
      </c>
      <c r="D181">
        <v>8.289999999999999</v>
      </c>
      <c r="E181">
        <v>0</v>
      </c>
      <c r="H181">
        <v>0</v>
      </c>
      <c r="I181">
        <v>265.486512</v>
      </c>
      <c r="J181">
        <v>0</v>
      </c>
      <c r="K181" t="s">
        <v>1921</v>
      </c>
      <c r="L181">
        <v>1.287581411601869</v>
      </c>
      <c r="M181">
        <v>25.75</v>
      </c>
      <c r="N181">
        <v>8.02</v>
      </c>
    </row>
    <row r="182" spans="1:14">
      <c r="A182" s="1" t="s">
        <v>194</v>
      </c>
      <c r="B182">
        <f>HYPERLINK("https://www.suredividend.com/sure-analysis-research-database/","Biolife Solutions Inc")</f>
        <v>0</v>
      </c>
      <c r="C182" t="s">
        <v>1922</v>
      </c>
      <c r="D182">
        <v>20.98</v>
      </c>
      <c r="E182">
        <v>0</v>
      </c>
      <c r="H182">
        <v>0</v>
      </c>
      <c r="I182">
        <v>893.853655</v>
      </c>
      <c r="J182">
        <v>0</v>
      </c>
      <c r="K182" t="s">
        <v>1921</v>
      </c>
      <c r="L182">
        <v>2.032608629787539</v>
      </c>
      <c r="M182">
        <v>58.8</v>
      </c>
      <c r="N182">
        <v>10.4</v>
      </c>
    </row>
    <row r="183" spans="1:14">
      <c r="A183" s="1" t="s">
        <v>195</v>
      </c>
      <c r="B183">
        <f>HYPERLINK("https://www.suredividend.com/sure-analysis-research-database/","Blue Foundry Bancorp")</f>
        <v>0</v>
      </c>
      <c r="C183" t="s">
        <v>1921</v>
      </c>
      <c r="D183">
        <v>11.37</v>
      </c>
      <c r="E183">
        <v>0</v>
      </c>
      <c r="H183">
        <v>0</v>
      </c>
      <c r="I183">
        <v>324.300825</v>
      </c>
      <c r="J183">
        <v>0</v>
      </c>
      <c r="K183" t="s">
        <v>1921</v>
      </c>
      <c r="L183">
        <v>0.487374875539389</v>
      </c>
      <c r="M183">
        <v>15.47</v>
      </c>
      <c r="N183">
        <v>11.01</v>
      </c>
    </row>
    <row r="184" spans="1:14">
      <c r="A184" s="1" t="s">
        <v>196</v>
      </c>
      <c r="B184">
        <f>HYPERLINK("https://www.suredividend.com/sure-analysis-research-database/","Berkeley Lights Inc")</f>
        <v>0</v>
      </c>
      <c r="C184" t="s">
        <v>1921</v>
      </c>
      <c r="D184">
        <v>2.54</v>
      </c>
      <c r="E184">
        <v>0</v>
      </c>
      <c r="H184">
        <v>0</v>
      </c>
      <c r="I184">
        <v>173.441172</v>
      </c>
      <c r="J184">
        <v>0</v>
      </c>
      <c r="K184" t="s">
        <v>1921</v>
      </c>
      <c r="L184">
        <v>2.455844852352546</v>
      </c>
      <c r="M184">
        <v>26.75</v>
      </c>
      <c r="N184">
        <v>2.53</v>
      </c>
    </row>
    <row r="185" spans="1:14">
      <c r="A185" s="1" t="s">
        <v>197</v>
      </c>
      <c r="B185">
        <f>HYPERLINK("https://www.suredividend.com/sure-analysis-research-database/","Blackbaud Inc")</f>
        <v>0</v>
      </c>
      <c r="C185" t="s">
        <v>1920</v>
      </c>
      <c r="D185">
        <v>51.81</v>
      </c>
      <c r="E185">
        <v>0</v>
      </c>
      <c r="H185">
        <v>0</v>
      </c>
      <c r="I185">
        <v>2747.481191</v>
      </c>
      <c r="J185" t="s">
        <v>1921</v>
      </c>
      <c r="K185">
        <v>-0</v>
      </c>
      <c r="L185">
        <v>1.170315954672295</v>
      </c>
      <c r="M185">
        <v>86.95999999999999</v>
      </c>
      <c r="N185">
        <v>43.54</v>
      </c>
    </row>
    <row r="186" spans="1:14">
      <c r="A186" s="1" t="s">
        <v>198</v>
      </c>
      <c r="B186">
        <f>HYPERLINK("https://www.suredividend.com/sure-analysis-research-database/","Bloomin Brands Inc")</f>
        <v>0</v>
      </c>
      <c r="C186" t="s">
        <v>1927</v>
      </c>
      <c r="D186">
        <v>19.26</v>
      </c>
      <c r="E186">
        <v>0.021662940998468</v>
      </c>
      <c r="H186">
        <v>0.417228243630501</v>
      </c>
      <c r="I186">
        <v>1719.861722</v>
      </c>
      <c r="J186">
        <v>22.62261551983584</v>
      </c>
      <c r="K186">
        <v>0.5530597078877266</v>
      </c>
      <c r="L186">
        <v>1.333410304514412</v>
      </c>
      <c r="M186">
        <v>25.03</v>
      </c>
      <c r="N186">
        <v>15.79</v>
      </c>
    </row>
    <row r="187" spans="1:14">
      <c r="A187" s="1" t="s">
        <v>199</v>
      </c>
      <c r="B187">
        <f>HYPERLINK("https://www.suredividend.com/sure-analysis-research-database/","Blink Charging Co")</f>
        <v>0</v>
      </c>
      <c r="C187" t="s">
        <v>1927</v>
      </c>
      <c r="D187">
        <v>15.14</v>
      </c>
      <c r="E187">
        <v>0</v>
      </c>
      <c r="H187">
        <v>0</v>
      </c>
      <c r="I187">
        <v>647.104599</v>
      </c>
      <c r="J187">
        <v>0</v>
      </c>
      <c r="K187" t="s">
        <v>1921</v>
      </c>
      <c r="L187">
        <v>1.920459211856014</v>
      </c>
      <c r="M187">
        <v>49</v>
      </c>
      <c r="N187">
        <v>13.6</v>
      </c>
    </row>
    <row r="188" spans="1:14">
      <c r="A188" s="1" t="s">
        <v>200</v>
      </c>
      <c r="B188">
        <f>HYPERLINK("https://www.suredividend.com/sure-analysis-research-database/","Bluebird bio Inc")</f>
        <v>0</v>
      </c>
      <c r="C188" t="s">
        <v>1922</v>
      </c>
      <c r="D188">
        <v>6.62</v>
      </c>
      <c r="E188">
        <v>0</v>
      </c>
      <c r="H188">
        <v>0</v>
      </c>
      <c r="I188">
        <v>510.545992</v>
      </c>
      <c r="J188" t="s">
        <v>1921</v>
      </c>
      <c r="K188">
        <v>-0</v>
      </c>
      <c r="M188">
        <v>17.85</v>
      </c>
      <c r="N188">
        <v>2.87</v>
      </c>
    </row>
    <row r="189" spans="1:14">
      <c r="A189" s="1" t="s">
        <v>201</v>
      </c>
      <c r="B189">
        <f>HYPERLINK("https://www.suredividend.com/sure-analysis-research-database/","Banco Latinoamericano De Comercio Exterior SA")</f>
        <v>0</v>
      </c>
      <c r="C189" t="s">
        <v>1923</v>
      </c>
      <c r="D189">
        <v>13.26</v>
      </c>
      <c r="E189">
        <v>0.07351679230167901</v>
      </c>
      <c r="F189">
        <v>0</v>
      </c>
      <c r="G189">
        <v>-0.0827328174886276</v>
      </c>
      <c r="H189">
        <v>0.9748326659202691</v>
      </c>
      <c r="I189">
        <v>368.626435</v>
      </c>
      <c r="J189">
        <v>5.270760320855615</v>
      </c>
      <c r="K189">
        <v>0.5157844793228936</v>
      </c>
      <c r="L189">
        <v>0.5528729489180231</v>
      </c>
      <c r="M189">
        <v>18.11</v>
      </c>
      <c r="N189">
        <v>12.37</v>
      </c>
    </row>
    <row r="190" spans="1:14">
      <c r="A190" s="1" t="s">
        <v>202</v>
      </c>
      <c r="B190">
        <f>HYPERLINK("https://www.suredividend.com/sure-analysis-research-database/","Biomea Fusion Inc")</f>
        <v>0</v>
      </c>
      <c r="C190" t="s">
        <v>1921</v>
      </c>
      <c r="D190">
        <v>9.43</v>
      </c>
      <c r="E190">
        <v>0</v>
      </c>
      <c r="H190">
        <v>0</v>
      </c>
      <c r="I190">
        <v>276.210292</v>
      </c>
      <c r="J190">
        <v>0</v>
      </c>
      <c r="K190" t="s">
        <v>1921</v>
      </c>
      <c r="L190">
        <v>1.087514380806551</v>
      </c>
      <c r="M190">
        <v>14.2</v>
      </c>
      <c r="N190">
        <v>2.84</v>
      </c>
    </row>
    <row r="191" spans="1:14">
      <c r="A191" s="1" t="s">
        <v>203</v>
      </c>
      <c r="B191">
        <f>HYPERLINK("https://www.suredividend.com/sure-analysis-BMI/","Badger Meter Inc.")</f>
        <v>0</v>
      </c>
      <c r="C191" t="s">
        <v>1924</v>
      </c>
      <c r="D191">
        <v>93.47</v>
      </c>
      <c r="E191">
        <v>0.00962875789023216</v>
      </c>
      <c r="F191">
        <v>0.125</v>
      </c>
      <c r="G191">
        <v>0.1159579570439235</v>
      </c>
      <c r="H191">
        <v>0.8221782940376361</v>
      </c>
      <c r="I191">
        <v>2735.778477</v>
      </c>
      <c r="J191">
        <v>42.64326205876393</v>
      </c>
      <c r="K191">
        <v>0.3754238785559982</v>
      </c>
      <c r="L191">
        <v>0.973036616433343</v>
      </c>
      <c r="M191">
        <v>111.58</v>
      </c>
      <c r="N191">
        <v>73.03</v>
      </c>
    </row>
    <row r="192" spans="1:14">
      <c r="A192" s="1" t="s">
        <v>204</v>
      </c>
      <c r="B192">
        <f>HYPERLINK("https://www.suredividend.com/sure-analysis-research-database/","Bank of Marin Bancorp")</f>
        <v>0</v>
      </c>
      <c r="C192" t="s">
        <v>1923</v>
      </c>
      <c r="D192">
        <v>31.28</v>
      </c>
      <c r="E192">
        <v>0.030675341801635</v>
      </c>
      <c r="F192">
        <v>0.04166666666666674</v>
      </c>
      <c r="G192">
        <v>-0.02924775819909686</v>
      </c>
      <c r="H192">
        <v>0.9595246915551501</v>
      </c>
      <c r="I192">
        <v>500.964027</v>
      </c>
      <c r="J192">
        <v>13.71489656199524</v>
      </c>
      <c r="K192">
        <v>0.4135882291185992</v>
      </c>
      <c r="L192">
        <v>0.443432560665413</v>
      </c>
      <c r="M192">
        <v>38.81</v>
      </c>
      <c r="N192">
        <v>29.61</v>
      </c>
    </row>
    <row r="193" spans="1:14">
      <c r="A193" s="1" t="s">
        <v>205</v>
      </c>
      <c r="B193">
        <f>HYPERLINK("https://www.suredividend.com/sure-analysis-research-database/","Barnes &amp; Noble Education Inc")</f>
        <v>0</v>
      </c>
      <c r="C193" t="s">
        <v>1927</v>
      </c>
      <c r="D193">
        <v>2.41</v>
      </c>
      <c r="E193">
        <v>0</v>
      </c>
      <c r="H193">
        <v>0</v>
      </c>
      <c r="I193">
        <v>126.158629</v>
      </c>
      <c r="J193" t="s">
        <v>1921</v>
      </c>
      <c r="K193">
        <v>-0</v>
      </c>
      <c r="L193">
        <v>1.707839786512958</v>
      </c>
      <c r="M193">
        <v>11.79</v>
      </c>
      <c r="N193">
        <v>1.9</v>
      </c>
    </row>
    <row r="194" spans="1:14">
      <c r="A194" s="1" t="s">
        <v>206</v>
      </c>
      <c r="B194">
        <f>HYPERLINK("https://www.suredividend.com/sure-analysis-research-database/","Benefitfocus Inc")</f>
        <v>0</v>
      </c>
      <c r="C194" t="s">
        <v>1920</v>
      </c>
      <c r="D194">
        <v>6.07</v>
      </c>
      <c r="E194">
        <v>0</v>
      </c>
      <c r="H194">
        <v>0</v>
      </c>
      <c r="I194">
        <v>207.815871</v>
      </c>
      <c r="J194" t="s">
        <v>1921</v>
      </c>
      <c r="K194">
        <v>-0</v>
      </c>
      <c r="L194">
        <v>1.119653495304473</v>
      </c>
      <c r="M194">
        <v>13.06</v>
      </c>
      <c r="N194">
        <v>5.97</v>
      </c>
    </row>
    <row r="195" spans="1:14">
      <c r="A195" s="1" t="s">
        <v>207</v>
      </c>
      <c r="B195">
        <f>HYPERLINK("https://www.suredividend.com/sure-analysis-research-database/","Bionano Genomics Inc")</f>
        <v>0</v>
      </c>
      <c r="C195" t="s">
        <v>1922</v>
      </c>
      <c r="D195">
        <v>1.97</v>
      </c>
      <c r="E195">
        <v>0</v>
      </c>
      <c r="H195">
        <v>0</v>
      </c>
      <c r="I195">
        <v>570.703179</v>
      </c>
      <c r="J195">
        <v>0</v>
      </c>
      <c r="K195" t="s">
        <v>1921</v>
      </c>
      <c r="L195">
        <v>2.647979233725319</v>
      </c>
      <c r="M195">
        <v>6.28</v>
      </c>
      <c r="N195">
        <v>1.16</v>
      </c>
    </row>
    <row r="196" spans="1:14">
      <c r="A196" s="1" t="s">
        <v>208</v>
      </c>
      <c r="B196">
        <f>HYPERLINK("https://www.suredividend.com/sure-analysis-research-database/","Broadstone Net Lease Inc")</f>
        <v>0</v>
      </c>
      <c r="C196" t="s">
        <v>1921</v>
      </c>
      <c r="D196">
        <v>15.13</v>
      </c>
      <c r="E196">
        <v>0.069191956085905</v>
      </c>
      <c r="H196">
        <v>1.046874295579756</v>
      </c>
      <c r="I196">
        <v>2619.230253</v>
      </c>
      <c r="J196">
        <v>0</v>
      </c>
      <c r="K196" t="s">
        <v>1921</v>
      </c>
      <c r="L196">
        <v>0.732811139049785</v>
      </c>
      <c r="M196">
        <v>25.86</v>
      </c>
      <c r="N196">
        <v>15</v>
      </c>
    </row>
    <row r="197" spans="1:14">
      <c r="A197" s="1" t="s">
        <v>209</v>
      </c>
      <c r="B197">
        <f>HYPERLINK("https://www.suredividend.com/sure-analysis-research-database/","Boston Omaha Corp")</f>
        <v>0</v>
      </c>
      <c r="C197" t="s">
        <v>1921</v>
      </c>
      <c r="D197">
        <v>23.15</v>
      </c>
      <c r="E197">
        <v>0</v>
      </c>
      <c r="H197">
        <v>0</v>
      </c>
      <c r="I197">
        <v>663.080843</v>
      </c>
      <c r="J197">
        <v>0</v>
      </c>
      <c r="K197" t="s">
        <v>1921</v>
      </c>
      <c r="L197">
        <v>1.176300314613529</v>
      </c>
      <c r="M197">
        <v>38.75</v>
      </c>
      <c r="N197">
        <v>18.68</v>
      </c>
    </row>
    <row r="198" spans="1:14">
      <c r="A198" s="1" t="s">
        <v>210</v>
      </c>
      <c r="B198">
        <f>HYPERLINK("https://www.suredividend.com/sure-analysis-research-database/","Bolt Biotherapeutics Inc")</f>
        <v>0</v>
      </c>
      <c r="C198" t="s">
        <v>1921</v>
      </c>
      <c r="D198">
        <v>1.46</v>
      </c>
      <c r="E198">
        <v>0</v>
      </c>
      <c r="H198">
        <v>0</v>
      </c>
      <c r="I198">
        <v>54.95653</v>
      </c>
      <c r="J198">
        <v>0</v>
      </c>
      <c r="K198" t="s">
        <v>1921</v>
      </c>
      <c r="L198">
        <v>0.916800088610581</v>
      </c>
      <c r="M198">
        <v>14.18</v>
      </c>
      <c r="N198">
        <v>1.39</v>
      </c>
    </row>
    <row r="199" spans="1:14">
      <c r="A199" s="1" t="s">
        <v>211</v>
      </c>
      <c r="B199">
        <f>HYPERLINK("https://www.suredividend.com/sure-analysis-research-database/","DMC Global Inc")</f>
        <v>0</v>
      </c>
      <c r="C199" t="s">
        <v>1926</v>
      </c>
      <c r="D199">
        <v>17.44</v>
      </c>
      <c r="E199">
        <v>0</v>
      </c>
      <c r="H199">
        <v>0</v>
      </c>
      <c r="I199">
        <v>340.570186</v>
      </c>
      <c r="J199" t="s">
        <v>1921</v>
      </c>
      <c r="K199">
        <v>-0</v>
      </c>
      <c r="L199">
        <v>1.377392159401261</v>
      </c>
      <c r="M199">
        <v>47.46</v>
      </c>
      <c r="N199">
        <v>13.95</v>
      </c>
    </row>
    <row r="200" spans="1:14">
      <c r="A200" s="1" t="s">
        <v>212</v>
      </c>
      <c r="B200">
        <f>HYPERLINK("https://www.suredividend.com/sure-analysis-research-database/","Boot Barn Holdings Inc")</f>
        <v>0</v>
      </c>
      <c r="C200" t="s">
        <v>1927</v>
      </c>
      <c r="D200">
        <v>56.45</v>
      </c>
      <c r="E200">
        <v>0</v>
      </c>
      <c r="H200">
        <v>0</v>
      </c>
      <c r="I200">
        <v>1682.574723</v>
      </c>
      <c r="J200">
        <v>8.803622397356676</v>
      </c>
      <c r="K200">
        <v>0</v>
      </c>
      <c r="L200">
        <v>1.624334288925438</v>
      </c>
      <c r="M200">
        <v>134.5</v>
      </c>
      <c r="N200">
        <v>54.73</v>
      </c>
    </row>
    <row r="201" spans="1:14">
      <c r="A201" s="1" t="s">
        <v>213</v>
      </c>
      <c r="B201">
        <f>HYPERLINK("https://www.suredividend.com/sure-analysis-research-database/","Box Inc")</f>
        <v>0</v>
      </c>
      <c r="C201" t="s">
        <v>1920</v>
      </c>
      <c r="D201">
        <v>26.14</v>
      </c>
      <c r="E201">
        <v>0</v>
      </c>
      <c r="H201">
        <v>0</v>
      </c>
      <c r="I201">
        <v>3720.254759</v>
      </c>
      <c r="J201" t="s">
        <v>1921</v>
      </c>
      <c r="K201">
        <v>-0</v>
      </c>
      <c r="L201">
        <v>1.054584272082594</v>
      </c>
      <c r="M201">
        <v>33.04</v>
      </c>
      <c r="N201">
        <v>22.31</v>
      </c>
    </row>
    <row r="202" spans="1:14">
      <c r="A202" s="1" t="s">
        <v>214</v>
      </c>
      <c r="B202">
        <f>HYPERLINK("https://www.suredividend.com/sure-analysis-research-database/","Blueprint Medicines Corp")</f>
        <v>0</v>
      </c>
      <c r="C202" t="s">
        <v>1922</v>
      </c>
      <c r="D202">
        <v>55.18</v>
      </c>
      <c r="E202">
        <v>0</v>
      </c>
      <c r="H202">
        <v>0</v>
      </c>
      <c r="I202">
        <v>3287.102783</v>
      </c>
      <c r="J202" t="s">
        <v>1921</v>
      </c>
      <c r="K202">
        <v>-0</v>
      </c>
      <c r="L202">
        <v>1.427538048963267</v>
      </c>
      <c r="M202">
        <v>117.86</v>
      </c>
      <c r="N202">
        <v>43.46</v>
      </c>
    </row>
    <row r="203" spans="1:14">
      <c r="A203" s="1" t="s">
        <v>215</v>
      </c>
      <c r="B203">
        <f>HYPERLINK("https://www.suredividend.com/sure-analysis-research-database/","Bellring Brands Inc")</f>
        <v>0</v>
      </c>
      <c r="C203" t="s">
        <v>1928</v>
      </c>
      <c r="D203">
        <v>20.82</v>
      </c>
      <c r="E203">
        <v>0</v>
      </c>
      <c r="H203">
        <v>0</v>
      </c>
      <c r="I203">
        <v>2836.608533</v>
      </c>
      <c r="J203">
        <v>0</v>
      </c>
      <c r="K203" t="s">
        <v>1921</v>
      </c>
      <c r="M203">
        <v>26.84</v>
      </c>
      <c r="N203">
        <v>20.2</v>
      </c>
    </row>
    <row r="204" spans="1:14">
      <c r="A204" s="1" t="s">
        <v>216</v>
      </c>
      <c r="B204">
        <f>HYPERLINK("https://www.suredividend.com/sure-analysis-research-database/","Blue Ridge Bankshares Inc (VA)")</f>
        <v>0</v>
      </c>
      <c r="C204" t="s">
        <v>1923</v>
      </c>
      <c r="D204">
        <v>12.58</v>
      </c>
      <c r="E204">
        <v>0.038087906860501</v>
      </c>
      <c r="F204">
        <v>0.02083333333333348</v>
      </c>
      <c r="G204">
        <v>0.08895321224139008</v>
      </c>
      <c r="H204">
        <v>0.479145868305113</v>
      </c>
      <c r="I204">
        <v>236.486388</v>
      </c>
      <c r="J204">
        <v>0</v>
      </c>
      <c r="K204" t="s">
        <v>1921</v>
      </c>
      <c r="L204">
        <v>0.5069175888241191</v>
      </c>
      <c r="M204">
        <v>18.65</v>
      </c>
      <c r="N204">
        <v>12.45</v>
      </c>
    </row>
    <row r="205" spans="1:14">
      <c r="A205" s="1" t="s">
        <v>217</v>
      </c>
      <c r="B205">
        <f>HYPERLINK("https://www.suredividend.com/sure-analysis-BRC/","Brady Corp.")</f>
        <v>0</v>
      </c>
      <c r="C205" t="s">
        <v>1924</v>
      </c>
      <c r="D205">
        <v>42.6</v>
      </c>
      <c r="E205">
        <v>0.0215962441314554</v>
      </c>
      <c r="F205">
        <v>0.02222222222222214</v>
      </c>
      <c r="G205">
        <v>0.02080302181960847</v>
      </c>
      <c r="H205">
        <v>0.8981136742604131</v>
      </c>
      <c r="I205">
        <v>1975.801206</v>
      </c>
      <c r="J205">
        <v>13.24547628177625</v>
      </c>
      <c r="K205">
        <v>0.3107659772527381</v>
      </c>
      <c r="L205">
        <v>0.7030818371457931</v>
      </c>
      <c r="M205">
        <v>54.88</v>
      </c>
      <c r="N205">
        <v>40.51</v>
      </c>
    </row>
    <row r="206" spans="1:14">
      <c r="A206" s="1" t="s">
        <v>218</v>
      </c>
      <c r="B206">
        <f>HYPERLINK("https://www.suredividend.com/sure-analysis-research-database/","Brookline Bancorp, Inc.")</f>
        <v>0</v>
      </c>
      <c r="C206" t="s">
        <v>1923</v>
      </c>
      <c r="D206">
        <v>11.96</v>
      </c>
      <c r="E206">
        <v>0.042082952053816</v>
      </c>
      <c r="F206">
        <v>0.08333333333333348</v>
      </c>
      <c r="G206">
        <v>0.07631692251481081</v>
      </c>
      <c r="H206">
        <v>0.503312106563647</v>
      </c>
      <c r="I206">
        <v>917.140485</v>
      </c>
      <c r="J206">
        <v>8.54871634651952</v>
      </c>
      <c r="K206">
        <v>0.3647189177997442</v>
      </c>
      <c r="L206">
        <v>0.53437147086991</v>
      </c>
      <c r="M206">
        <v>17.29</v>
      </c>
      <c r="N206">
        <v>11.59</v>
      </c>
    </row>
    <row r="207" spans="1:14">
      <c r="A207" s="1" t="s">
        <v>219</v>
      </c>
      <c r="B207">
        <f>HYPERLINK("https://www.suredividend.com/sure-analysis-BRMK/","Broadmark Realty Capital Inc")</f>
        <v>0</v>
      </c>
      <c r="C207" t="s">
        <v>1929</v>
      </c>
      <c r="D207">
        <v>5.01</v>
      </c>
      <c r="E207">
        <v>0.1676646706586826</v>
      </c>
      <c r="F207">
        <v>0</v>
      </c>
      <c r="G207">
        <v>0</v>
      </c>
      <c r="H207">
        <v>0.7964231519769631</v>
      </c>
      <c r="I207">
        <v>665.661751</v>
      </c>
      <c r="J207">
        <v>0</v>
      </c>
      <c r="K207" t="s">
        <v>1921</v>
      </c>
      <c r="L207">
        <v>0.8472060863068791</v>
      </c>
      <c r="M207">
        <v>9.5</v>
      </c>
      <c r="N207">
        <v>4.89</v>
      </c>
    </row>
    <row r="208" spans="1:14">
      <c r="A208" s="1" t="s">
        <v>220</v>
      </c>
      <c r="B208">
        <f>HYPERLINK("https://www.suredividend.com/sure-analysis-research-database/","BRP Group Inc")</f>
        <v>0</v>
      </c>
      <c r="C208" t="s">
        <v>1923</v>
      </c>
      <c r="D208">
        <v>27.57</v>
      </c>
      <c r="E208">
        <v>0</v>
      </c>
      <c r="H208">
        <v>0</v>
      </c>
      <c r="I208">
        <v>1660.961239</v>
      </c>
      <c r="J208">
        <v>0</v>
      </c>
      <c r="K208" t="s">
        <v>1921</v>
      </c>
      <c r="L208">
        <v>1.697590320697172</v>
      </c>
      <c r="M208">
        <v>45.36</v>
      </c>
      <c r="N208">
        <v>17.08</v>
      </c>
    </row>
    <row r="209" spans="1:14">
      <c r="A209" s="1" t="s">
        <v>221</v>
      </c>
      <c r="B209">
        <f>HYPERLINK("https://www.suredividend.com/sure-analysis-research-database/","BrightSpire Capital Inc")</f>
        <v>0</v>
      </c>
      <c r="C209" t="s">
        <v>1921</v>
      </c>
      <c r="D209">
        <v>6.29</v>
      </c>
      <c r="E209">
        <v>0.117823281385882</v>
      </c>
      <c r="F209">
        <v>0.25</v>
      </c>
      <c r="G209">
        <v>0.06643011016843192</v>
      </c>
      <c r="H209">
        <v>0.7411084399172011</v>
      </c>
      <c r="I209">
        <v>811.189435</v>
      </c>
      <c r="J209">
        <v>11.11233626296251</v>
      </c>
      <c r="K209">
        <v>1.307761496236459</v>
      </c>
      <c r="L209">
        <v>0.9448020423130681</v>
      </c>
      <c r="M209">
        <v>9.67</v>
      </c>
      <c r="N209">
        <v>6.13</v>
      </c>
    </row>
    <row r="210" spans="1:14">
      <c r="A210" s="1" t="s">
        <v>222</v>
      </c>
      <c r="B210">
        <f>HYPERLINK("https://www.suredividend.com/sure-analysis-research-database/","BRT Apartments Corp")</f>
        <v>0</v>
      </c>
      <c r="C210" t="s">
        <v>1929</v>
      </c>
      <c r="D210">
        <v>19.3</v>
      </c>
      <c r="E210">
        <v>0.04893015178390001</v>
      </c>
      <c r="F210">
        <v>0.08695652173913038</v>
      </c>
      <c r="G210">
        <v>0.06790716584560208</v>
      </c>
      <c r="H210">
        <v>0.944351929429287</v>
      </c>
      <c r="I210">
        <v>364.165408</v>
      </c>
      <c r="J210">
        <v>4.923349712709722</v>
      </c>
      <c r="K210">
        <v>0.2191071762016907</v>
      </c>
      <c r="L210">
        <v>0.640292895401259</v>
      </c>
      <c r="M210">
        <v>25.37</v>
      </c>
      <c r="N210">
        <v>17.69</v>
      </c>
    </row>
    <row r="211" spans="1:14">
      <c r="A211" s="1" t="s">
        <v>223</v>
      </c>
      <c r="B211">
        <f>HYPERLINK("https://www.suredividend.com/sure-analysis-research-database/","Berry Corp")</f>
        <v>0</v>
      </c>
      <c r="C211" t="s">
        <v>1926</v>
      </c>
      <c r="D211">
        <v>8.779999999999999</v>
      </c>
      <c r="E211">
        <v>0.025865449828294</v>
      </c>
      <c r="H211">
        <v>0.227098649492425</v>
      </c>
      <c r="I211">
        <v>691.515908</v>
      </c>
      <c r="J211">
        <v>0</v>
      </c>
      <c r="K211" t="s">
        <v>1921</v>
      </c>
      <c r="L211">
        <v>1.002955026774082</v>
      </c>
      <c r="M211">
        <v>11.88</v>
      </c>
      <c r="N211">
        <v>6.39</v>
      </c>
    </row>
    <row r="212" spans="1:14">
      <c r="A212" s="1" t="s">
        <v>224</v>
      </c>
      <c r="B212">
        <f>HYPERLINK("https://www.suredividend.com/sure-analysis-research-database/","Bassett Furniture Industries Inc.")</f>
        <v>0</v>
      </c>
      <c r="C212" t="s">
        <v>1927</v>
      </c>
      <c r="D212">
        <v>16.51</v>
      </c>
      <c r="E212">
        <v>0.033501369742749</v>
      </c>
      <c r="F212">
        <v>0.1428571428571428</v>
      </c>
      <c r="G212">
        <v>0.07781806771272581</v>
      </c>
      <c r="H212">
        <v>0.553107614452799</v>
      </c>
      <c r="I212">
        <v>151.161267</v>
      </c>
      <c r="J212">
        <v>2.312748889228886</v>
      </c>
      <c r="K212">
        <v>0.08110082323354824</v>
      </c>
      <c r="L212">
        <v>0.770731753930584</v>
      </c>
      <c r="M212">
        <v>23.93</v>
      </c>
      <c r="N212">
        <v>11.9</v>
      </c>
    </row>
    <row r="213" spans="1:14">
      <c r="A213" s="1" t="s">
        <v>225</v>
      </c>
      <c r="B213">
        <f>HYPERLINK("https://www.suredividend.com/sure-analysis-research-database/","BrightSphere Investment Group Inc")</f>
        <v>0</v>
      </c>
      <c r="C213" t="s">
        <v>1923</v>
      </c>
      <c r="D213">
        <v>17.48</v>
      </c>
      <c r="E213">
        <v>0.002286524118381</v>
      </c>
      <c r="F213">
        <v>0</v>
      </c>
      <c r="G213">
        <v>-0.3556059850227458</v>
      </c>
      <c r="H213">
        <v>0.039968441589303</v>
      </c>
      <c r="I213">
        <v>724.263785</v>
      </c>
      <c r="J213">
        <v>0</v>
      </c>
      <c r="K213" t="s">
        <v>1921</v>
      </c>
      <c r="L213">
        <v>1.030925236600409</v>
      </c>
      <c r="M213">
        <v>31.11</v>
      </c>
      <c r="N213">
        <v>14.73</v>
      </c>
    </row>
    <row r="214" spans="1:14">
      <c r="A214" s="1" t="s">
        <v>226</v>
      </c>
      <c r="B214">
        <f>HYPERLINK("https://www.suredividend.com/sure-analysis-research-database/","Sierra Bancorp")</f>
        <v>0</v>
      </c>
      <c r="C214" t="s">
        <v>1923</v>
      </c>
      <c r="D214">
        <v>20.61</v>
      </c>
      <c r="E214">
        <v>0.04350604640858</v>
      </c>
      <c r="F214">
        <v>0.04545454545454541</v>
      </c>
      <c r="G214">
        <v>0.1043836287043816</v>
      </c>
      <c r="H214">
        <v>0.896659616480838</v>
      </c>
      <c r="I214">
        <v>311.0299</v>
      </c>
      <c r="J214">
        <v>8.443410156364525</v>
      </c>
      <c r="K214">
        <v>0.3705205026780323</v>
      </c>
      <c r="L214">
        <v>0.488369434026952</v>
      </c>
      <c r="M214">
        <v>28.09</v>
      </c>
      <c r="N214">
        <v>19.62</v>
      </c>
    </row>
    <row r="215" spans="1:14">
      <c r="A215" s="1" t="s">
        <v>227</v>
      </c>
      <c r="B215">
        <f>HYPERLINK("https://www.suredividend.com/sure-analysis-research-database/","BioXcel Therapeutics Inc")</f>
        <v>0</v>
      </c>
      <c r="C215" t="s">
        <v>1922</v>
      </c>
      <c r="D215">
        <v>10.73</v>
      </c>
      <c r="E215">
        <v>0</v>
      </c>
      <c r="H215">
        <v>0</v>
      </c>
      <c r="I215">
        <v>300.681049</v>
      </c>
      <c r="J215">
        <v>0</v>
      </c>
      <c r="K215" t="s">
        <v>1921</v>
      </c>
      <c r="L215">
        <v>1.76533398179147</v>
      </c>
      <c r="M215">
        <v>36.49</v>
      </c>
      <c r="N215">
        <v>8.800000000000001</v>
      </c>
    </row>
    <row r="216" spans="1:14">
      <c r="A216" s="1" t="s">
        <v>228</v>
      </c>
      <c r="B216">
        <f>HYPERLINK("https://www.suredividend.com/sure-analysis-research-database/","BTRS Holdings Inc")</f>
        <v>0</v>
      </c>
      <c r="C216" t="s">
        <v>1921</v>
      </c>
      <c r="D216">
        <v>9.300000000000001</v>
      </c>
      <c r="E216">
        <v>0</v>
      </c>
      <c r="H216">
        <v>0</v>
      </c>
      <c r="I216">
        <v>1493.193604</v>
      </c>
      <c r="J216">
        <v>0</v>
      </c>
      <c r="K216" t="s">
        <v>1921</v>
      </c>
      <c r="L216">
        <v>2.139132314729376</v>
      </c>
      <c r="M216">
        <v>10.85</v>
      </c>
      <c r="N216">
        <v>3.95</v>
      </c>
    </row>
    <row r="217" spans="1:14">
      <c r="A217" s="1" t="s">
        <v>229</v>
      </c>
      <c r="B217">
        <f>HYPERLINK("https://www.suredividend.com/sure-analysis-research-database/","Peabody Energy Corp.")</f>
        <v>0</v>
      </c>
      <c r="C217" t="s">
        <v>1926</v>
      </c>
      <c r="D217">
        <v>27.13</v>
      </c>
      <c r="E217">
        <v>0</v>
      </c>
      <c r="H217">
        <v>0</v>
      </c>
      <c r="I217">
        <v>3904.007</v>
      </c>
      <c r="J217">
        <v>5.14497496046389</v>
      </c>
      <c r="K217">
        <v>0</v>
      </c>
      <c r="L217">
        <v>0.788601648481271</v>
      </c>
      <c r="M217">
        <v>33.29</v>
      </c>
      <c r="N217">
        <v>8.58</v>
      </c>
    </row>
    <row r="218" spans="1:14">
      <c r="A218" s="1" t="s">
        <v>230</v>
      </c>
      <c r="B218">
        <f>HYPERLINK("https://www.suredividend.com/sure-analysis-research-database/","Brooklyn ImmunoTherapeutics Inc")</f>
        <v>0</v>
      </c>
      <c r="C218" t="s">
        <v>1921</v>
      </c>
      <c r="D218">
        <v>0.2061</v>
      </c>
      <c r="E218">
        <v>0</v>
      </c>
      <c r="H218">
        <v>0</v>
      </c>
      <c r="I218">
        <v>12.123985</v>
      </c>
      <c r="J218">
        <v>0</v>
      </c>
      <c r="K218" t="s">
        <v>1921</v>
      </c>
      <c r="L218">
        <v>1.613512251479738</v>
      </c>
      <c r="M218">
        <v>10.1</v>
      </c>
      <c r="N218">
        <v>0.2</v>
      </c>
    </row>
    <row r="219" spans="1:14">
      <c r="A219" s="1" t="s">
        <v>231</v>
      </c>
      <c r="B219">
        <f>HYPERLINK("https://www.suredividend.com/sure-analysis-research-database/","First Busey Corp.")</f>
        <v>0</v>
      </c>
      <c r="C219" t="s">
        <v>1923</v>
      </c>
      <c r="D219">
        <v>22.76</v>
      </c>
      <c r="E219">
        <v>0.039874329070716</v>
      </c>
      <c r="F219">
        <v>0</v>
      </c>
      <c r="G219">
        <v>0.05024607263868264</v>
      </c>
      <c r="H219">
        <v>0.9075397296495181</v>
      </c>
      <c r="I219">
        <v>1256.75492</v>
      </c>
      <c r="J219">
        <v>11.01160886953474</v>
      </c>
      <c r="K219">
        <v>0.4492770938859</v>
      </c>
      <c r="L219">
        <v>0.638061622334101</v>
      </c>
      <c r="M219">
        <v>28.95</v>
      </c>
      <c r="N219">
        <v>21.46</v>
      </c>
    </row>
    <row r="220" spans="1:14">
      <c r="A220" s="1" t="s">
        <v>232</v>
      </c>
      <c r="B220">
        <f>HYPERLINK("https://www.suredividend.com/sure-analysis-research-database/","BrightView Holdings Inc")</f>
        <v>0</v>
      </c>
      <c r="C220" t="s">
        <v>1924</v>
      </c>
      <c r="D220">
        <v>8.23</v>
      </c>
      <c r="E220">
        <v>0</v>
      </c>
      <c r="H220">
        <v>0</v>
      </c>
      <c r="I220">
        <v>765.39</v>
      </c>
      <c r="J220">
        <v>0</v>
      </c>
      <c r="K220" t="s">
        <v>1921</v>
      </c>
      <c r="L220">
        <v>1.078344175045094</v>
      </c>
      <c r="M220">
        <v>17.53</v>
      </c>
      <c r="N220">
        <v>7.62</v>
      </c>
    </row>
    <row r="221" spans="1:14">
      <c r="A221" s="1" t="s">
        <v>233</v>
      </c>
      <c r="B221">
        <f>HYPERLINK("https://www.suredividend.com/sure-analysis-research-database/","Bluegreen Vacations Holding Corporation")</f>
        <v>0</v>
      </c>
      <c r="C221" t="s">
        <v>1921</v>
      </c>
      <c r="D221">
        <v>17.14</v>
      </c>
      <c r="E221">
        <v>0.01744814636019</v>
      </c>
      <c r="H221">
        <v>0.299061228613663</v>
      </c>
      <c r="I221">
        <v>260.642958</v>
      </c>
      <c r="J221">
        <v>0</v>
      </c>
      <c r="K221" t="s">
        <v>1921</v>
      </c>
      <c r="L221">
        <v>1.291543923245912</v>
      </c>
      <c r="M221">
        <v>35.68</v>
      </c>
      <c r="N221">
        <v>16.47</v>
      </c>
    </row>
    <row r="222" spans="1:14">
      <c r="A222" s="1" t="s">
        <v>234</v>
      </c>
      <c r="B222">
        <f>HYPERLINK("https://www.suredividend.com/sure-analysis-research-database/","Bioventus Inc")</f>
        <v>0</v>
      </c>
      <c r="C222" t="s">
        <v>1921</v>
      </c>
      <c r="D222">
        <v>6.95</v>
      </c>
      <c r="E222">
        <v>0</v>
      </c>
      <c r="H222">
        <v>0</v>
      </c>
      <c r="I222">
        <v>428.565898</v>
      </c>
      <c r="J222">
        <v>0</v>
      </c>
      <c r="K222" t="s">
        <v>1921</v>
      </c>
      <c r="L222">
        <v>0.9911689973066131</v>
      </c>
      <c r="M222">
        <v>17.53</v>
      </c>
      <c r="N222">
        <v>6.3</v>
      </c>
    </row>
    <row r="223" spans="1:14">
      <c r="A223" s="1" t="s">
        <v>235</v>
      </c>
      <c r="B223">
        <f>HYPERLINK("https://www.suredividend.com/sure-analysis-research-database/","Babcock &amp; Wilcox Enterprises Inc")</f>
        <v>0</v>
      </c>
      <c r="C223" t="s">
        <v>1924</v>
      </c>
      <c r="D223">
        <v>6.58</v>
      </c>
      <c r="E223">
        <v>0</v>
      </c>
      <c r="H223">
        <v>0</v>
      </c>
      <c r="I223">
        <v>579.589562</v>
      </c>
      <c r="J223">
        <v>32.97806893883357</v>
      </c>
      <c r="K223">
        <v>0</v>
      </c>
      <c r="L223">
        <v>1.572267292435981</v>
      </c>
      <c r="M223">
        <v>10.37</v>
      </c>
      <c r="N223">
        <v>5.19</v>
      </c>
    </row>
    <row r="224" spans="1:14">
      <c r="A224" s="1" t="s">
        <v>236</v>
      </c>
      <c r="B224">
        <f>HYPERLINK("https://www.suredividend.com/sure-analysis-research-database/","Bridgewater Bancshares Inc")</f>
        <v>0</v>
      </c>
      <c r="C224" t="s">
        <v>1923</v>
      </c>
      <c r="D224">
        <v>16.75</v>
      </c>
      <c r="E224">
        <v>0</v>
      </c>
      <c r="H224">
        <v>0</v>
      </c>
      <c r="I224">
        <v>461.964732</v>
      </c>
      <c r="J224">
        <v>0</v>
      </c>
      <c r="K224" t="s">
        <v>1921</v>
      </c>
      <c r="L224">
        <v>0.503345419478715</v>
      </c>
      <c r="M224">
        <v>20.05</v>
      </c>
      <c r="N224">
        <v>14.97</v>
      </c>
    </row>
    <row r="225" spans="1:14">
      <c r="A225" s="1" t="s">
        <v>237</v>
      </c>
      <c r="B225">
        <f>HYPERLINK("https://www.suredividend.com/sure-analysis-research-database/","Bluelinx Hldgs Inc")</f>
        <v>0</v>
      </c>
      <c r="C225" t="s">
        <v>1924</v>
      </c>
      <c r="D225">
        <v>68.88</v>
      </c>
      <c r="E225">
        <v>0</v>
      </c>
      <c r="H225">
        <v>0</v>
      </c>
      <c r="I225">
        <v>665.240147</v>
      </c>
      <c r="J225">
        <v>2.043773647110871</v>
      </c>
      <c r="K225">
        <v>0</v>
      </c>
      <c r="L225">
        <v>1.859602721081906</v>
      </c>
      <c r="M225">
        <v>100.01</v>
      </c>
      <c r="N225">
        <v>45.86</v>
      </c>
    </row>
    <row r="226" spans="1:14">
      <c r="A226" s="1" t="s">
        <v>238</v>
      </c>
      <c r="B226">
        <f>HYPERLINK("https://www.suredividend.com/sure-analysis-BXMT/","Blackstone Mortgage Trust Inc")</f>
        <v>0</v>
      </c>
      <c r="C226" t="s">
        <v>1929</v>
      </c>
      <c r="D226">
        <v>21.81</v>
      </c>
      <c r="E226">
        <v>0.1137093076570381</v>
      </c>
      <c r="F226">
        <v>0</v>
      </c>
      <c r="G226">
        <v>0</v>
      </c>
      <c r="H226">
        <v>2.398104867026767</v>
      </c>
      <c r="I226">
        <v>3714.178639</v>
      </c>
      <c r="J226">
        <v>9.270775594346944</v>
      </c>
      <c r="K226">
        <v>1.007607086986037</v>
      </c>
      <c r="L226">
        <v>0.7851144512552131</v>
      </c>
      <c r="M226">
        <v>31.27</v>
      </c>
      <c r="N226">
        <v>21.74</v>
      </c>
    </row>
    <row r="227" spans="1:14">
      <c r="A227" s="1" t="s">
        <v>239</v>
      </c>
      <c r="B227">
        <f>HYPERLINK("https://www.suredividend.com/sure-analysis-research-database/","Byline Bancorp Inc")</f>
        <v>0</v>
      </c>
      <c r="C227" t="s">
        <v>1923</v>
      </c>
      <c r="D227">
        <v>20.68</v>
      </c>
      <c r="E227">
        <v>0.017309255557818</v>
      </c>
      <c r="H227">
        <v>0.357955404935691</v>
      </c>
      <c r="I227">
        <v>775.576185</v>
      </c>
      <c r="J227">
        <v>9.178307772925764</v>
      </c>
      <c r="K227">
        <v>0.1605181188052426</v>
      </c>
      <c r="L227">
        <v>0.5918973634197551</v>
      </c>
      <c r="M227">
        <v>28.83</v>
      </c>
      <c r="N227">
        <v>20.15</v>
      </c>
    </row>
    <row r="228" spans="1:14">
      <c r="A228" s="1" t="s">
        <v>240</v>
      </c>
      <c r="B228">
        <f>HYPERLINK("https://www.suredividend.com/sure-analysis-research-database/","Byrna Technologies Inc")</f>
        <v>0</v>
      </c>
      <c r="C228" t="s">
        <v>1924</v>
      </c>
      <c r="D228">
        <v>5.3</v>
      </c>
      <c r="E228">
        <v>0</v>
      </c>
      <c r="H228">
        <v>0</v>
      </c>
      <c r="I228">
        <v>117.853991</v>
      </c>
      <c r="J228">
        <v>0</v>
      </c>
      <c r="K228" t="s">
        <v>1921</v>
      </c>
      <c r="L228">
        <v>1.112785494717869</v>
      </c>
      <c r="M228">
        <v>20.57</v>
      </c>
      <c r="N228">
        <v>4.5</v>
      </c>
    </row>
    <row r="229" spans="1:14">
      <c r="A229" s="1" t="s">
        <v>241</v>
      </c>
      <c r="B229">
        <f>HYPERLINK("https://www.suredividend.com/sure-analysis-research-database/","BeyondSpring Inc")</f>
        <v>0</v>
      </c>
      <c r="C229" t="s">
        <v>1922</v>
      </c>
      <c r="D229">
        <v>0.9801000000000001</v>
      </c>
      <c r="E229">
        <v>0</v>
      </c>
      <c r="H229">
        <v>0</v>
      </c>
      <c r="I229">
        <v>38.154236</v>
      </c>
      <c r="J229">
        <v>0</v>
      </c>
      <c r="K229" t="s">
        <v>1921</v>
      </c>
      <c r="L229">
        <v>1.476669486954328</v>
      </c>
      <c r="M229">
        <v>17.98</v>
      </c>
      <c r="N229">
        <v>0.92</v>
      </c>
    </row>
    <row r="230" spans="1:14">
      <c r="A230" s="1" t="s">
        <v>242</v>
      </c>
      <c r="B230">
        <f>HYPERLINK("https://www.suredividend.com/sure-analysis-research-database/","Beazer Homes USA Inc.")</f>
        <v>0</v>
      </c>
      <c r="C230" t="s">
        <v>1927</v>
      </c>
      <c r="D230">
        <v>10.48</v>
      </c>
      <c r="E230">
        <v>0</v>
      </c>
      <c r="H230">
        <v>0</v>
      </c>
      <c r="I230">
        <v>327.763939</v>
      </c>
      <c r="J230">
        <v>1.798509338132812</v>
      </c>
      <c r="K230">
        <v>0</v>
      </c>
      <c r="L230">
        <v>1.581469222897023</v>
      </c>
      <c r="M230">
        <v>23.97</v>
      </c>
      <c r="N230">
        <v>9.65</v>
      </c>
    </row>
    <row r="231" spans="1:14">
      <c r="A231" s="1" t="s">
        <v>243</v>
      </c>
      <c r="B231">
        <f>HYPERLINK("https://www.suredividend.com/sure-analysis-research-database/","Camden National Corp.")</f>
        <v>0</v>
      </c>
      <c r="C231" t="s">
        <v>1923</v>
      </c>
      <c r="D231">
        <v>41.35</v>
      </c>
      <c r="E231">
        <v>0.037248192628658</v>
      </c>
      <c r="F231">
        <v>0.1111111111111112</v>
      </c>
      <c r="G231">
        <v>0.1170340997937203</v>
      </c>
      <c r="H231">
        <v>1.540212765195036</v>
      </c>
      <c r="I231">
        <v>604.753178</v>
      </c>
      <c r="J231">
        <v>9.632435178312599</v>
      </c>
      <c r="K231">
        <v>0.3641164929539092</v>
      </c>
      <c r="L231">
        <v>0.4197134335798151</v>
      </c>
      <c r="M231">
        <v>51.24</v>
      </c>
      <c r="N231">
        <v>40.6</v>
      </c>
    </row>
    <row r="232" spans="1:14">
      <c r="A232" s="1" t="s">
        <v>244</v>
      </c>
      <c r="B232">
        <f>HYPERLINK("https://www.suredividend.com/sure-analysis-research-database/","Cadence Bank")</f>
        <v>0</v>
      </c>
      <c r="C232" t="s">
        <v>1923</v>
      </c>
      <c r="D232">
        <v>26.05</v>
      </c>
      <c r="E232">
        <v>0.032601217907886</v>
      </c>
      <c r="F232">
        <v>-0.8240000000000001</v>
      </c>
      <c r="G232">
        <v>0.1197022052804315</v>
      </c>
      <c r="H232">
        <v>0.8492617265004381</v>
      </c>
      <c r="I232">
        <v>2673.931713</v>
      </c>
      <c r="J232">
        <v>9.885693153224764</v>
      </c>
      <c r="K232">
        <v>0.5055129324407369</v>
      </c>
      <c r="L232">
        <v>0.889854219703148</v>
      </c>
      <c r="M232">
        <v>33.39</v>
      </c>
      <c r="N232">
        <v>21.85</v>
      </c>
    </row>
    <row r="233" spans="1:14">
      <c r="A233" s="1" t="s">
        <v>245</v>
      </c>
      <c r="B233">
        <f>HYPERLINK("https://www.suredividend.com/sure-analysis-CAKE/","Cheesecake Factory Inc.")</f>
        <v>0</v>
      </c>
      <c r="C233" t="s">
        <v>1927</v>
      </c>
      <c r="D233">
        <v>30.33</v>
      </c>
      <c r="E233">
        <v>0.03560830860534125</v>
      </c>
      <c r="H233">
        <v>0.5376469619236101</v>
      </c>
      <c r="I233">
        <v>1584.090314</v>
      </c>
      <c r="J233">
        <v>19.29958106226928</v>
      </c>
      <c r="K233">
        <v>0.3360293512022562</v>
      </c>
      <c r="L233">
        <v>1.267052178929749</v>
      </c>
      <c r="M233">
        <v>46.38</v>
      </c>
      <c r="N233">
        <v>25.82</v>
      </c>
    </row>
    <row r="234" spans="1:14">
      <c r="A234" s="1" t="s">
        <v>246</v>
      </c>
      <c r="B234">
        <f>HYPERLINK("https://www.suredividend.com/sure-analysis-research-database/","Caleres Inc")</f>
        <v>0</v>
      </c>
      <c r="C234" t="s">
        <v>1927</v>
      </c>
      <c r="D234">
        <v>24.49</v>
      </c>
      <c r="E234">
        <v>0.011386153073877</v>
      </c>
      <c r="F234">
        <v>0</v>
      </c>
      <c r="G234">
        <v>0</v>
      </c>
      <c r="H234">
        <v>0.278846888779264</v>
      </c>
      <c r="I234">
        <v>893.0077680000001</v>
      </c>
      <c r="J234">
        <v>4.762504896857734</v>
      </c>
      <c r="K234">
        <v>0.0544622829647</v>
      </c>
      <c r="L234">
        <v>1.274716087563115</v>
      </c>
      <c r="M234">
        <v>31.05</v>
      </c>
      <c r="N234">
        <v>17.67</v>
      </c>
    </row>
    <row r="235" spans="1:14">
      <c r="A235" s="1" t="s">
        <v>247</v>
      </c>
      <c r="B235">
        <f>HYPERLINK("https://www.suredividend.com/sure-analysis-research-database/","Cal-Maine Foods, Inc.")</f>
        <v>0</v>
      </c>
      <c r="C235" t="s">
        <v>1928</v>
      </c>
      <c r="D235">
        <v>55.16</v>
      </c>
      <c r="E235">
        <v>0.01581257755657</v>
      </c>
      <c r="H235">
        <v>0.8722217780204521</v>
      </c>
      <c r="I235">
        <v>2434.533541</v>
      </c>
      <c r="J235">
        <v>8.82195635342419</v>
      </c>
      <c r="K235">
        <v>0.1541027876361223</v>
      </c>
      <c r="L235">
        <v>0.346618930083531</v>
      </c>
      <c r="M235">
        <v>62.64</v>
      </c>
      <c r="N235">
        <v>33.82</v>
      </c>
    </row>
    <row r="236" spans="1:14">
      <c r="A236" s="1" t="s">
        <v>248</v>
      </c>
      <c r="B236">
        <f>HYPERLINK("https://www.suredividend.com/sure-analysis-research-database/","Calix Inc")</f>
        <v>0</v>
      </c>
      <c r="C236" t="s">
        <v>1920</v>
      </c>
      <c r="D236">
        <v>58.47</v>
      </c>
      <c r="E236">
        <v>0</v>
      </c>
      <c r="H236">
        <v>0</v>
      </c>
      <c r="I236">
        <v>3814.612971</v>
      </c>
      <c r="J236">
        <v>17.9136066614384</v>
      </c>
      <c r="K236">
        <v>0</v>
      </c>
      <c r="L236">
        <v>1.772237113151699</v>
      </c>
      <c r="M236">
        <v>80.95</v>
      </c>
      <c r="N236">
        <v>31.59</v>
      </c>
    </row>
    <row r="237" spans="1:14">
      <c r="A237" s="1" t="s">
        <v>249</v>
      </c>
      <c r="B237">
        <f>HYPERLINK("https://www.suredividend.com/sure-analysis-research-database/","Calamp Corp.")</f>
        <v>0</v>
      </c>
      <c r="C237" t="s">
        <v>1920</v>
      </c>
      <c r="D237">
        <v>3.92</v>
      </c>
      <c r="E237">
        <v>0</v>
      </c>
      <c r="H237">
        <v>0</v>
      </c>
      <c r="I237">
        <v>145.286823</v>
      </c>
      <c r="J237" t="s">
        <v>1921</v>
      </c>
      <c r="K237">
        <v>-0</v>
      </c>
      <c r="L237">
        <v>0.880003160339026</v>
      </c>
      <c r="M237">
        <v>10.68</v>
      </c>
      <c r="N237">
        <v>3.82</v>
      </c>
    </row>
    <row r="238" spans="1:14">
      <c r="A238" s="1" t="s">
        <v>250</v>
      </c>
      <c r="B238">
        <f>HYPERLINK("https://www.suredividend.com/sure-analysis-research-database/","Avis Budget Group Inc")</f>
        <v>0</v>
      </c>
      <c r="C238" t="s">
        <v>1924</v>
      </c>
      <c r="D238">
        <v>177.35</v>
      </c>
      <c r="E238">
        <v>0</v>
      </c>
      <c r="H238">
        <v>0</v>
      </c>
      <c r="I238">
        <v>8524.565930999999</v>
      </c>
      <c r="J238">
        <v>3.605992356620135</v>
      </c>
      <c r="K238">
        <v>0</v>
      </c>
      <c r="L238">
        <v>2.033526591652348</v>
      </c>
      <c r="M238">
        <v>545.11</v>
      </c>
      <c r="N238">
        <v>131.83</v>
      </c>
    </row>
    <row r="239" spans="1:14">
      <c r="A239" s="1" t="s">
        <v>251</v>
      </c>
      <c r="B239">
        <f>HYPERLINK("https://www.suredividend.com/sure-analysis-research-database/","Cara Therapeutics Inc")</f>
        <v>0</v>
      </c>
      <c r="C239" t="s">
        <v>1922</v>
      </c>
      <c r="D239">
        <v>9.43</v>
      </c>
      <c r="E239">
        <v>0</v>
      </c>
      <c r="H239">
        <v>0</v>
      </c>
      <c r="I239">
        <v>506.635473</v>
      </c>
      <c r="J239" t="s">
        <v>1921</v>
      </c>
      <c r="K239">
        <v>-0</v>
      </c>
      <c r="L239">
        <v>1.114422812531701</v>
      </c>
      <c r="M239">
        <v>18.93</v>
      </c>
      <c r="N239">
        <v>7.4</v>
      </c>
    </row>
    <row r="240" spans="1:14">
      <c r="A240" s="1" t="s">
        <v>252</v>
      </c>
      <c r="B240">
        <f>HYPERLINK("https://www.suredividend.com/sure-analysis-research-database/","Carter Bankshares Inc")</f>
        <v>0</v>
      </c>
      <c r="C240" t="s">
        <v>1923</v>
      </c>
      <c r="D240">
        <v>16.13</v>
      </c>
      <c r="E240">
        <v>0</v>
      </c>
      <c r="H240">
        <v>0</v>
      </c>
      <c r="I240">
        <v>396.434704</v>
      </c>
      <c r="J240">
        <v>0</v>
      </c>
      <c r="K240" t="s">
        <v>1921</v>
      </c>
      <c r="L240">
        <v>0.649279793568284</v>
      </c>
      <c r="M240">
        <v>17.99</v>
      </c>
      <c r="N240">
        <v>12.58</v>
      </c>
    </row>
    <row r="241" spans="1:14">
      <c r="A241" s="1" t="s">
        <v>253</v>
      </c>
      <c r="B241">
        <f>HYPERLINK("https://www.suredividend.com/sure-analysis-research-database/","CarGurus Inc")</f>
        <v>0</v>
      </c>
      <c r="C241" t="s">
        <v>1931</v>
      </c>
      <c r="D241">
        <v>14.05</v>
      </c>
      <c r="E241">
        <v>0</v>
      </c>
      <c r="H241">
        <v>0</v>
      </c>
      <c r="I241">
        <v>1442.782993</v>
      </c>
      <c r="J241" t="s">
        <v>1921</v>
      </c>
      <c r="K241">
        <v>-0</v>
      </c>
      <c r="L241">
        <v>1.800441903480703</v>
      </c>
      <c r="M241">
        <v>50.03</v>
      </c>
      <c r="N241">
        <v>13.66</v>
      </c>
    </row>
    <row r="242" spans="1:14">
      <c r="A242" s="1" t="s">
        <v>254</v>
      </c>
      <c r="B242">
        <f>HYPERLINK("https://www.suredividend.com/sure-analysis-research-database/","Cars.com")</f>
        <v>0</v>
      </c>
      <c r="C242" t="s">
        <v>1927</v>
      </c>
      <c r="D242">
        <v>12.01</v>
      </c>
      <c r="E242">
        <v>0</v>
      </c>
      <c r="H242">
        <v>0</v>
      </c>
      <c r="I242">
        <v>815.049763</v>
      </c>
      <c r="J242">
        <v>128.1524783962264</v>
      </c>
      <c r="K242">
        <v>0</v>
      </c>
      <c r="L242">
        <v>1.304311390616413</v>
      </c>
      <c r="M242">
        <v>19.09</v>
      </c>
      <c r="N242">
        <v>8.75</v>
      </c>
    </row>
    <row r="243" spans="1:14">
      <c r="A243" s="1" t="s">
        <v>255</v>
      </c>
      <c r="B243">
        <f>HYPERLINK("https://www.suredividend.com/sure-analysis-research-database/","Casa Systems Inc")</f>
        <v>0</v>
      </c>
      <c r="C243" t="s">
        <v>1920</v>
      </c>
      <c r="D243">
        <v>3.26</v>
      </c>
      <c r="E243">
        <v>0</v>
      </c>
      <c r="H243">
        <v>0</v>
      </c>
      <c r="I243">
        <v>307.027322</v>
      </c>
      <c r="J243" t="s">
        <v>1921</v>
      </c>
      <c r="K243">
        <v>-0</v>
      </c>
      <c r="L243">
        <v>1.748840617028127</v>
      </c>
      <c r="M243">
        <v>7.18</v>
      </c>
      <c r="N243">
        <v>3.12</v>
      </c>
    </row>
    <row r="244" spans="1:14">
      <c r="A244" s="1" t="s">
        <v>256</v>
      </c>
      <c r="B244">
        <f>HYPERLINK("https://www.suredividend.com/sure-analysis-research-database/","Pathward Financial Inc")</f>
        <v>0</v>
      </c>
      <c r="C244" t="s">
        <v>1923</v>
      </c>
      <c r="D244">
        <v>34.36</v>
      </c>
      <c r="E244">
        <v>0.005808990653668001</v>
      </c>
      <c r="F244">
        <v>0</v>
      </c>
      <c r="G244">
        <v>-0.1739519118078667</v>
      </c>
      <c r="H244">
        <v>0.199596918860052</v>
      </c>
      <c r="I244">
        <v>998.278947</v>
      </c>
      <c r="J244">
        <v>6.817774169358638</v>
      </c>
      <c r="K244">
        <v>0.04081736582005154</v>
      </c>
      <c r="L244">
        <v>1.065376101940301</v>
      </c>
      <c r="M244">
        <v>65.65000000000001</v>
      </c>
      <c r="N244">
        <v>31.11</v>
      </c>
    </row>
    <row r="245" spans="1:14">
      <c r="A245" s="1" t="s">
        <v>257</v>
      </c>
      <c r="B245">
        <f>HYPERLINK("https://www.suredividend.com/sure-analysis-research-database/","Cass Information Systems Inc")</f>
        <v>0</v>
      </c>
      <c r="C245" t="s">
        <v>1924</v>
      </c>
      <c r="D245">
        <v>35.97</v>
      </c>
      <c r="E245">
        <v>0.030779084908233</v>
      </c>
      <c r="F245">
        <v>0.03703703703703698</v>
      </c>
      <c r="G245">
        <v>0.03131030647754507</v>
      </c>
      <c r="H245">
        <v>1.107123684149173</v>
      </c>
      <c r="I245">
        <v>491.268332</v>
      </c>
      <c r="J245">
        <v>15.68194631723434</v>
      </c>
      <c r="K245">
        <v>0.4942516447094522</v>
      </c>
      <c r="L245">
        <v>0.553189323249211</v>
      </c>
      <c r="M245">
        <v>44.9</v>
      </c>
      <c r="N245">
        <v>31.34</v>
      </c>
    </row>
    <row r="246" spans="1:14">
      <c r="A246" s="1" t="s">
        <v>258</v>
      </c>
      <c r="B246">
        <f>HYPERLINK("https://www.suredividend.com/sure-analysis-research-database/","Cambridge Bancorp")</f>
        <v>0</v>
      </c>
      <c r="C246" t="s">
        <v>1923</v>
      </c>
      <c r="D246">
        <v>78.89</v>
      </c>
      <c r="E246">
        <v>0.031710624370034</v>
      </c>
      <c r="H246">
        <v>2.501651156551983</v>
      </c>
      <c r="I246">
        <v>552.744757</v>
      </c>
      <c r="J246">
        <v>0</v>
      </c>
      <c r="K246" t="s">
        <v>1921</v>
      </c>
      <c r="L246">
        <v>0.514113745942384</v>
      </c>
      <c r="M246">
        <v>95.39</v>
      </c>
      <c r="N246">
        <v>77.02</v>
      </c>
    </row>
    <row r="247" spans="1:14">
      <c r="A247" s="1" t="s">
        <v>259</v>
      </c>
      <c r="B247">
        <f>HYPERLINK("https://www.suredividend.com/sure-analysis-research-database/","Cato Corp.")</f>
        <v>0</v>
      </c>
      <c r="C247" t="s">
        <v>1927</v>
      </c>
      <c r="D247">
        <v>9.57</v>
      </c>
      <c r="E247">
        <v>0.06945030318659201</v>
      </c>
      <c r="H247">
        <v>0.664639401495693</v>
      </c>
      <c r="I247">
        <v>185.819848</v>
      </c>
      <c r="J247">
        <v>5.323283233735354</v>
      </c>
      <c r="K247">
        <v>0.4028117584822382</v>
      </c>
      <c r="L247">
        <v>0.8158605021101271</v>
      </c>
      <c r="M247">
        <v>18.85</v>
      </c>
      <c r="N247">
        <v>9.07</v>
      </c>
    </row>
    <row r="248" spans="1:14">
      <c r="A248" s="1" t="s">
        <v>260</v>
      </c>
      <c r="B248">
        <f>HYPERLINK("https://www.suredividend.com/sure-analysis-research-database/","Cathay General Bancorp")</f>
        <v>0</v>
      </c>
      <c r="C248" t="s">
        <v>1923</v>
      </c>
      <c r="D248">
        <v>40.82</v>
      </c>
      <c r="E248">
        <v>0.03291910780198101</v>
      </c>
      <c r="F248">
        <v>0.09677419354838723</v>
      </c>
      <c r="G248">
        <v>0.07214502590085092</v>
      </c>
      <c r="H248">
        <v>1.343757980476899</v>
      </c>
      <c r="I248">
        <v>3039.849888</v>
      </c>
      <c r="J248">
        <v>9.751641302806624</v>
      </c>
      <c r="K248">
        <v>0.33016166596484</v>
      </c>
      <c r="L248">
        <v>0.896411486849042</v>
      </c>
      <c r="M248">
        <v>47.73</v>
      </c>
      <c r="N248">
        <v>36.86</v>
      </c>
    </row>
    <row r="249" spans="1:14">
      <c r="A249" s="1" t="s">
        <v>261</v>
      </c>
      <c r="B249">
        <f>HYPERLINK("https://www.suredividend.com/sure-analysis-research-database/","Cymabay Therapeutics Inc")</f>
        <v>0</v>
      </c>
      <c r="C249" t="s">
        <v>1922</v>
      </c>
      <c r="D249">
        <v>3.32</v>
      </c>
      <c r="E249">
        <v>0</v>
      </c>
      <c r="H249">
        <v>0</v>
      </c>
      <c r="I249">
        <v>281.130757</v>
      </c>
      <c r="J249">
        <v>0</v>
      </c>
      <c r="K249" t="s">
        <v>1921</v>
      </c>
      <c r="L249">
        <v>0.9704641894323131</v>
      </c>
      <c r="M249">
        <v>4.74</v>
      </c>
      <c r="N249">
        <v>1.67</v>
      </c>
    </row>
    <row r="250" spans="1:14">
      <c r="A250" s="1" t="s">
        <v>262</v>
      </c>
      <c r="B250">
        <f>HYPERLINK("https://www.suredividend.com/sure-analysis-research-database/","Capital Bancorp Inc")</f>
        <v>0</v>
      </c>
      <c r="C250" t="s">
        <v>1923</v>
      </c>
      <c r="D250">
        <v>24.25</v>
      </c>
      <c r="E250">
        <v>0.008631040586097</v>
      </c>
      <c r="H250">
        <v>0.209302734212854</v>
      </c>
      <c r="I250">
        <v>339.667907</v>
      </c>
      <c r="J250">
        <v>0</v>
      </c>
      <c r="K250" t="s">
        <v>1921</v>
      </c>
      <c r="L250">
        <v>0.5620630249769131</v>
      </c>
      <c r="M250">
        <v>27.97</v>
      </c>
      <c r="N250">
        <v>20.89</v>
      </c>
    </row>
    <row r="251" spans="1:14">
      <c r="A251" s="1" t="s">
        <v>263</v>
      </c>
      <c r="B251">
        <f>HYPERLINK("https://www.suredividend.com/sure-analysis-CBRL/","Cracker Barrel Old Country Store Inc")</f>
        <v>0</v>
      </c>
      <c r="C251" t="s">
        <v>1927</v>
      </c>
      <c r="D251">
        <v>90.78</v>
      </c>
      <c r="E251">
        <v>0.05728133950209297</v>
      </c>
      <c r="H251">
        <v>5.102306124830249</v>
      </c>
      <c r="I251">
        <v>2012.380447</v>
      </c>
      <c r="J251">
        <v>15.25917839808917</v>
      </c>
      <c r="K251">
        <v>0.8998776234268516</v>
      </c>
      <c r="L251">
        <v>1.068796863144593</v>
      </c>
      <c r="M251">
        <v>144.1</v>
      </c>
      <c r="N251">
        <v>80.68000000000001</v>
      </c>
    </row>
    <row r="252" spans="1:14">
      <c r="A252" s="1" t="s">
        <v>264</v>
      </c>
      <c r="B252">
        <f>HYPERLINK("https://www.suredividend.com/sure-analysis-research-database/","Cabot Corp.")</f>
        <v>0</v>
      </c>
      <c r="C252" t="s">
        <v>1925</v>
      </c>
      <c r="D252">
        <v>64.09</v>
      </c>
      <c r="E252">
        <v>0.022917482945152</v>
      </c>
      <c r="F252">
        <v>0.05714285714285694</v>
      </c>
      <c r="G252">
        <v>0.03270964718488734</v>
      </c>
      <c r="H252">
        <v>1.468781481954813</v>
      </c>
      <c r="I252">
        <v>3608.218356</v>
      </c>
      <c r="J252">
        <v>25.5902011041844</v>
      </c>
      <c r="K252">
        <v>0.5922505975624246</v>
      </c>
      <c r="L252">
        <v>1.114001011036242</v>
      </c>
      <c r="M252">
        <v>78.23</v>
      </c>
      <c r="N252">
        <v>49.83</v>
      </c>
    </row>
    <row r="253" spans="1:14">
      <c r="A253" s="1" t="s">
        <v>265</v>
      </c>
      <c r="B253">
        <f>HYPERLINK("https://www.suredividend.com/sure-analysis-research-database/","CBTX Inc")</f>
        <v>0</v>
      </c>
      <c r="C253" t="s">
        <v>1923</v>
      </c>
      <c r="D253">
        <v>29.25</v>
      </c>
      <c r="E253">
        <v>0.017659283822868</v>
      </c>
      <c r="F253">
        <v>0</v>
      </c>
      <c r="G253">
        <v>0.2105832751075947</v>
      </c>
      <c r="H253">
        <v>0.516534051818912</v>
      </c>
      <c r="I253">
        <v>717.237261</v>
      </c>
      <c r="J253">
        <v>0</v>
      </c>
      <c r="K253" t="s">
        <v>1921</v>
      </c>
      <c r="L253">
        <v>0.514065292267338</v>
      </c>
      <c r="M253">
        <v>32.96</v>
      </c>
      <c r="N253">
        <v>25.69</v>
      </c>
    </row>
    <row r="254" spans="1:14">
      <c r="A254" s="1" t="s">
        <v>266</v>
      </c>
      <c r="B254">
        <f>HYPERLINK("https://www.suredividend.com/sure-analysis-CBU/","Community Bank System, Inc.")</f>
        <v>0</v>
      </c>
      <c r="C254" t="s">
        <v>1923</v>
      </c>
      <c r="D254">
        <v>60.8</v>
      </c>
      <c r="E254">
        <v>0.02894736842105263</v>
      </c>
      <c r="F254">
        <v>0.02325581395348841</v>
      </c>
      <c r="G254">
        <v>0.05291848906511043</v>
      </c>
      <c r="H254">
        <v>1.712633391403933</v>
      </c>
      <c r="I254">
        <v>3266.906573</v>
      </c>
      <c r="J254">
        <v>18.63311377988684</v>
      </c>
      <c r="K254">
        <v>0.5302270561622084</v>
      </c>
      <c r="L254">
        <v>0.5612348711517411</v>
      </c>
      <c r="M254">
        <v>76.45999999999999</v>
      </c>
      <c r="N254">
        <v>60</v>
      </c>
    </row>
    <row r="255" spans="1:14">
      <c r="A255" s="1" t="s">
        <v>267</v>
      </c>
      <c r="B255">
        <f>HYPERLINK("https://www.suredividend.com/sure-analysis-research-database/","Cbiz Inc")</f>
        <v>0</v>
      </c>
      <c r="C255" t="s">
        <v>1924</v>
      </c>
      <c r="D255">
        <v>43.97</v>
      </c>
      <c r="E255">
        <v>0</v>
      </c>
      <c r="H255">
        <v>0</v>
      </c>
      <c r="I255">
        <v>2261.069618</v>
      </c>
      <c r="J255">
        <v>22.28686798606251</v>
      </c>
      <c r="K255">
        <v>0</v>
      </c>
      <c r="L255">
        <v>0.749455454875761</v>
      </c>
      <c r="M255">
        <v>48.47</v>
      </c>
      <c r="N255">
        <v>34.32</v>
      </c>
    </row>
    <row r="256" spans="1:14">
      <c r="A256" s="1" t="s">
        <v>268</v>
      </c>
      <c r="B256">
        <f>HYPERLINK("https://www.suredividend.com/sure-analysis-research-database/","Coastal Financial Corp")</f>
        <v>0</v>
      </c>
      <c r="C256" t="s">
        <v>1923</v>
      </c>
      <c r="D256">
        <v>39.75</v>
      </c>
      <c r="E256">
        <v>0</v>
      </c>
      <c r="H256">
        <v>0</v>
      </c>
      <c r="I256">
        <v>514.796407</v>
      </c>
      <c r="J256">
        <v>0</v>
      </c>
      <c r="K256" t="s">
        <v>1921</v>
      </c>
      <c r="L256">
        <v>0.8149313067808851</v>
      </c>
      <c r="M256">
        <v>54.41</v>
      </c>
      <c r="N256">
        <v>32.36</v>
      </c>
    </row>
    <row r="257" spans="1:14">
      <c r="A257" s="1" t="s">
        <v>269</v>
      </c>
      <c r="B257">
        <f>HYPERLINK("https://www.suredividend.com/sure-analysis-research-database/","Capital City Bank Group, Inc.")</f>
        <v>0</v>
      </c>
      <c r="C257" t="s">
        <v>1923</v>
      </c>
      <c r="D257">
        <v>32.89</v>
      </c>
      <c r="E257">
        <v>0.019601190309255</v>
      </c>
      <c r="F257">
        <v>0.0625</v>
      </c>
      <c r="G257">
        <v>0.1941810528171777</v>
      </c>
      <c r="H257">
        <v>0.644683149271402</v>
      </c>
      <c r="I257">
        <v>557.790719</v>
      </c>
      <c r="J257">
        <v>16.58561206030151</v>
      </c>
      <c r="K257">
        <v>0.3239613815434181</v>
      </c>
      <c r="L257">
        <v>0.447892461281633</v>
      </c>
      <c r="M257">
        <v>33.93</v>
      </c>
      <c r="N257">
        <v>24.16</v>
      </c>
    </row>
    <row r="258" spans="1:14">
      <c r="A258" s="1" t="s">
        <v>270</v>
      </c>
      <c r="B258">
        <f>HYPERLINK("https://www.suredividend.com/sure-analysis-research-database/","C4 Therapeutics Inc")</f>
        <v>0</v>
      </c>
      <c r="C258" t="s">
        <v>1921</v>
      </c>
      <c r="D258">
        <v>7.73</v>
      </c>
      <c r="E258">
        <v>0</v>
      </c>
      <c r="H258">
        <v>0</v>
      </c>
      <c r="I258">
        <v>378.103403</v>
      </c>
      <c r="J258">
        <v>0</v>
      </c>
      <c r="K258" t="s">
        <v>1921</v>
      </c>
      <c r="L258">
        <v>2.041444494759383</v>
      </c>
      <c r="M258">
        <v>48.75</v>
      </c>
      <c r="N258">
        <v>4.84</v>
      </c>
    </row>
    <row r="259" spans="1:14">
      <c r="A259" s="1" t="s">
        <v>271</v>
      </c>
      <c r="B259">
        <f>HYPERLINK("https://www.suredividend.com/sure-analysis-research-database/","Chase Corp.")</f>
        <v>0</v>
      </c>
      <c r="C259" t="s">
        <v>1925</v>
      </c>
      <c r="D259">
        <v>83.45999999999999</v>
      </c>
      <c r="E259">
        <v>0.011981787682722</v>
      </c>
      <c r="H259">
        <v>1</v>
      </c>
      <c r="I259">
        <v>790.248521</v>
      </c>
      <c r="J259">
        <v>0</v>
      </c>
      <c r="K259" t="s">
        <v>1921</v>
      </c>
      <c r="L259">
        <v>0.6612725214181341</v>
      </c>
      <c r="M259">
        <v>113.12</v>
      </c>
      <c r="N259">
        <v>74.36</v>
      </c>
    </row>
    <row r="260" spans="1:14">
      <c r="A260" s="1" t="s">
        <v>272</v>
      </c>
      <c r="B260">
        <f>HYPERLINK("https://www.suredividend.com/sure-analysis-research-database/","CMC Materials Inc")</f>
        <v>0</v>
      </c>
      <c r="C260" t="s">
        <v>1920</v>
      </c>
      <c r="D260">
        <v>173.69</v>
      </c>
      <c r="E260">
        <v>0</v>
      </c>
      <c r="H260">
        <v>1.38000002503395</v>
      </c>
      <c r="I260">
        <v>0</v>
      </c>
      <c r="J260">
        <v>0</v>
      </c>
      <c r="K260">
        <v>0.3565891537555426</v>
      </c>
    </row>
    <row r="261" spans="1:14">
      <c r="A261" s="1" t="s">
        <v>273</v>
      </c>
      <c r="B261">
        <f>HYPERLINK("https://www.suredividend.com/sure-analysis-research-database/","CNB Financial Corp (PA)")</f>
        <v>0</v>
      </c>
      <c r="C261" t="s">
        <v>1923</v>
      </c>
      <c r="D261">
        <v>23.95</v>
      </c>
      <c r="E261">
        <v>0.029035828942871</v>
      </c>
      <c r="F261">
        <v>0.02941176470588247</v>
      </c>
      <c r="G261">
        <v>0.01183761651824167</v>
      </c>
      <c r="H261">
        <v>0.695408103181778</v>
      </c>
      <c r="I261">
        <v>505.837987</v>
      </c>
      <c r="J261">
        <v>9.0822872214741</v>
      </c>
      <c r="K261">
        <v>0.2100930825322592</v>
      </c>
      <c r="L261">
        <v>0.571104820537582</v>
      </c>
      <c r="M261">
        <v>28.31</v>
      </c>
      <c r="N261">
        <v>22.9</v>
      </c>
    </row>
    <row r="262" spans="1:14">
      <c r="A262" s="1" t="s">
        <v>274</v>
      </c>
      <c r="B262">
        <f>HYPERLINK("https://www.suredividend.com/sure-analysis-research-database/","Clear Channel Outdoor Holdings Inc.")</f>
        <v>0</v>
      </c>
      <c r="C262" t="s">
        <v>1931</v>
      </c>
      <c r="D262">
        <v>1.6</v>
      </c>
      <c r="E262">
        <v>0</v>
      </c>
      <c r="H262">
        <v>0</v>
      </c>
      <c r="I262">
        <v>761.841797</v>
      </c>
      <c r="J262" t="s">
        <v>1921</v>
      </c>
      <c r="K262">
        <v>-0</v>
      </c>
      <c r="L262">
        <v>1.823424770949362</v>
      </c>
      <c r="M262">
        <v>4.1</v>
      </c>
      <c r="N262">
        <v>0.9069</v>
      </c>
    </row>
    <row r="263" spans="1:14">
      <c r="A263" s="1" t="s">
        <v>275</v>
      </c>
      <c r="B263">
        <f>HYPERLINK("https://www.suredividend.com/sure-analysis-CCOI/","Cogent Communications Holdings Inc")</f>
        <v>0</v>
      </c>
      <c r="C263" t="s">
        <v>1931</v>
      </c>
      <c r="D263">
        <v>51.53</v>
      </c>
      <c r="E263">
        <v>0.07025033960799534</v>
      </c>
      <c r="F263">
        <v>0.1242236024844721</v>
      </c>
      <c r="G263">
        <v>0.1352237498765039</v>
      </c>
      <c r="H263">
        <v>3.395994778144467</v>
      </c>
      <c r="I263">
        <v>2474.18162</v>
      </c>
      <c r="J263">
        <v>56.06829268854243</v>
      </c>
      <c r="K263">
        <v>3.637916205832316</v>
      </c>
      <c r="L263">
        <v>0.717930874103141</v>
      </c>
      <c r="M263">
        <v>76.63</v>
      </c>
      <c r="N263">
        <v>49.02</v>
      </c>
    </row>
    <row r="264" spans="1:14">
      <c r="A264" s="1" t="s">
        <v>276</v>
      </c>
      <c r="B264">
        <f>HYPERLINK("https://www.suredividend.com/sure-analysis-research-database/","CoreCard Corporation")</f>
        <v>0</v>
      </c>
      <c r="C264" t="s">
        <v>1921</v>
      </c>
      <c r="D264">
        <v>21.6</v>
      </c>
      <c r="E264">
        <v>0</v>
      </c>
      <c r="H264">
        <v>0</v>
      </c>
      <c r="I264">
        <v>185.047373</v>
      </c>
      <c r="J264">
        <v>0</v>
      </c>
      <c r="K264" t="s">
        <v>1921</v>
      </c>
      <c r="L264">
        <v>0.669524789977199</v>
      </c>
      <c r="M264">
        <v>49.14</v>
      </c>
      <c r="N264">
        <v>20.45</v>
      </c>
    </row>
    <row r="265" spans="1:14">
      <c r="A265" s="1" t="s">
        <v>277</v>
      </c>
      <c r="B265">
        <f>HYPERLINK("https://www.suredividend.com/sure-analysis-research-database/","Cross Country Healthcares, Inc.")</f>
        <v>0</v>
      </c>
      <c r="C265" t="s">
        <v>1924</v>
      </c>
      <c r="D265">
        <v>32.26</v>
      </c>
      <c r="E265">
        <v>0</v>
      </c>
      <c r="H265">
        <v>0</v>
      </c>
      <c r="I265">
        <v>1233.342964</v>
      </c>
      <c r="J265">
        <v>5.713015679233658</v>
      </c>
      <c r="K265">
        <v>0</v>
      </c>
      <c r="L265">
        <v>1.171141680489761</v>
      </c>
      <c r="M265">
        <v>34.98</v>
      </c>
      <c r="N265">
        <v>15.26</v>
      </c>
    </row>
    <row r="266" spans="1:14">
      <c r="A266" s="1" t="s">
        <v>278</v>
      </c>
      <c r="B266">
        <f>HYPERLINK("https://www.suredividend.com/sure-analysis-research-database/","Century Communities Inc")</f>
        <v>0</v>
      </c>
      <c r="C266" t="s">
        <v>1927</v>
      </c>
      <c r="D266">
        <v>44.43</v>
      </c>
      <c r="E266">
        <v>0.016818816654361</v>
      </c>
      <c r="H266">
        <v>0.7472600239532601</v>
      </c>
      <c r="I266">
        <v>1433.896499</v>
      </c>
      <c r="J266">
        <v>0</v>
      </c>
      <c r="K266" t="s">
        <v>1921</v>
      </c>
      <c r="L266">
        <v>1.463999443396161</v>
      </c>
      <c r="M266">
        <v>85.44</v>
      </c>
      <c r="N266">
        <v>38.84</v>
      </c>
    </row>
    <row r="267" spans="1:14">
      <c r="A267" s="1" t="s">
        <v>279</v>
      </c>
      <c r="B267">
        <f>HYPERLINK("https://www.suredividend.com/sure-analysis-research-database/","Consensus Cloud Solutions Inc")</f>
        <v>0</v>
      </c>
      <c r="C267" t="s">
        <v>1921</v>
      </c>
      <c r="D267">
        <v>47.98</v>
      </c>
      <c r="E267">
        <v>0</v>
      </c>
      <c r="H267">
        <v>0</v>
      </c>
      <c r="I267">
        <v>951.339571</v>
      </c>
      <c r="J267">
        <v>0</v>
      </c>
      <c r="K267" t="s">
        <v>1921</v>
      </c>
      <c r="L267">
        <v>1.165248957459921</v>
      </c>
      <c r="M267">
        <v>69.31</v>
      </c>
      <c r="N267">
        <v>37.75</v>
      </c>
    </row>
    <row r="268" spans="1:14">
      <c r="A268" s="1" t="s">
        <v>280</v>
      </c>
      <c r="B268">
        <f>HYPERLINK("https://www.suredividend.com/sure-analysis-research-database/","ChemoCentryx Inc")</f>
        <v>0</v>
      </c>
      <c r="C268" t="s">
        <v>1922</v>
      </c>
      <c r="D268">
        <v>51.85</v>
      </c>
      <c r="E268">
        <v>0</v>
      </c>
      <c r="H268">
        <v>0</v>
      </c>
      <c r="I268">
        <v>3699.801963</v>
      </c>
      <c r="J268">
        <v>0</v>
      </c>
      <c r="K268" t="s">
        <v>1921</v>
      </c>
      <c r="L268">
        <v>1.045767033137821</v>
      </c>
      <c r="M268">
        <v>51.9</v>
      </c>
      <c r="N268">
        <v>14.95</v>
      </c>
    </row>
    <row r="269" spans="1:14">
      <c r="A269" s="1" t="s">
        <v>281</v>
      </c>
      <c r="B269">
        <f>HYPERLINK("https://www.suredividend.com/sure-analysis-research-database/","Codiak Biosciences Inc")</f>
        <v>0</v>
      </c>
      <c r="C269" t="s">
        <v>1921</v>
      </c>
      <c r="D269">
        <v>0.672</v>
      </c>
      <c r="E269">
        <v>0</v>
      </c>
      <c r="H269">
        <v>0</v>
      </c>
      <c r="I269">
        <v>15.228797</v>
      </c>
      <c r="J269">
        <v>0</v>
      </c>
      <c r="K269" t="s">
        <v>1921</v>
      </c>
      <c r="L269">
        <v>1.790547173349281</v>
      </c>
      <c r="M269">
        <v>17.15</v>
      </c>
      <c r="N269">
        <v>0.64</v>
      </c>
    </row>
    <row r="270" spans="1:14">
      <c r="A270" s="1" t="s">
        <v>282</v>
      </c>
      <c r="B270">
        <f>HYPERLINK("https://www.suredividend.com/sure-analysis-research-database/","Coeur Mining Inc")</f>
        <v>0</v>
      </c>
      <c r="C270" t="s">
        <v>1925</v>
      </c>
      <c r="D270">
        <v>3.46</v>
      </c>
      <c r="E270">
        <v>0</v>
      </c>
      <c r="H270">
        <v>0</v>
      </c>
      <c r="I270">
        <v>971.589954</v>
      </c>
      <c r="J270" t="s">
        <v>1921</v>
      </c>
      <c r="K270">
        <v>-0</v>
      </c>
      <c r="L270">
        <v>1.324209388930774</v>
      </c>
      <c r="M270">
        <v>7.64</v>
      </c>
      <c r="N270">
        <v>2.54</v>
      </c>
    </row>
    <row r="271" spans="1:14">
      <c r="A271" s="1" t="s">
        <v>283</v>
      </c>
      <c r="B271">
        <f>HYPERLINK("https://www.suredividend.com/sure-analysis-research-database/","Permian Resources Corp")</f>
        <v>0</v>
      </c>
      <c r="C271" t="s">
        <v>1926</v>
      </c>
      <c r="D271">
        <v>7.62</v>
      </c>
      <c r="E271">
        <v>0</v>
      </c>
      <c r="H271">
        <v>0</v>
      </c>
      <c r="I271">
        <v>2171.643993</v>
      </c>
      <c r="J271">
        <v>5.355432618254365</v>
      </c>
      <c r="K271">
        <v>0</v>
      </c>
      <c r="L271">
        <v>1.201022598731073</v>
      </c>
      <c r="M271">
        <v>9.699999999999999</v>
      </c>
      <c r="N271">
        <v>5.05</v>
      </c>
    </row>
    <row r="272" spans="1:14">
      <c r="A272" s="1" t="s">
        <v>284</v>
      </c>
      <c r="B272">
        <f>HYPERLINK("https://www.suredividend.com/sure-analysis-research-database/","Cardlytics Inc")</f>
        <v>0</v>
      </c>
      <c r="C272" t="s">
        <v>1931</v>
      </c>
      <c r="D272">
        <v>8.699999999999999</v>
      </c>
      <c r="E272">
        <v>0</v>
      </c>
      <c r="H272">
        <v>0</v>
      </c>
      <c r="I272">
        <v>286.176104</v>
      </c>
      <c r="J272" t="s">
        <v>1921</v>
      </c>
      <c r="K272">
        <v>-0</v>
      </c>
      <c r="L272">
        <v>2.314718467269238</v>
      </c>
      <c r="M272">
        <v>97.20999999999999</v>
      </c>
      <c r="N272">
        <v>8.51</v>
      </c>
    </row>
    <row r="273" spans="1:14">
      <c r="A273" s="1" t="s">
        <v>285</v>
      </c>
      <c r="B273">
        <f>HYPERLINK("https://www.suredividend.com/sure-analysis-research-database/","Avid Bioservices Inc")</f>
        <v>0</v>
      </c>
      <c r="C273" t="s">
        <v>1922</v>
      </c>
      <c r="D273">
        <v>17.78</v>
      </c>
      <c r="E273">
        <v>0</v>
      </c>
      <c r="H273">
        <v>0</v>
      </c>
      <c r="I273">
        <v>1105.337332</v>
      </c>
      <c r="J273">
        <v>8.991453259688283</v>
      </c>
      <c r="K273">
        <v>0</v>
      </c>
      <c r="L273">
        <v>1.560477165195968</v>
      </c>
      <c r="M273">
        <v>34.51</v>
      </c>
      <c r="N273">
        <v>11.3</v>
      </c>
    </row>
    <row r="274" spans="1:14">
      <c r="A274" s="1" t="s">
        <v>286</v>
      </c>
      <c r="B274">
        <f>HYPERLINK("https://www.suredividend.com/sure-analysis-research-database/","Caredx Inc")</f>
        <v>0</v>
      </c>
      <c r="C274" t="s">
        <v>1922</v>
      </c>
      <c r="D274">
        <v>16.82</v>
      </c>
      <c r="E274">
        <v>0</v>
      </c>
      <c r="H274">
        <v>0</v>
      </c>
      <c r="I274">
        <v>899.165679</v>
      </c>
      <c r="J274">
        <v>0</v>
      </c>
      <c r="K274" t="s">
        <v>1921</v>
      </c>
      <c r="L274">
        <v>1.966628109253705</v>
      </c>
      <c r="M274">
        <v>75.92</v>
      </c>
      <c r="N274">
        <v>15.66</v>
      </c>
    </row>
    <row r="275" spans="1:14">
      <c r="A275" s="1" t="s">
        <v>287</v>
      </c>
      <c r="B275">
        <f>HYPERLINK("https://www.suredividend.com/sure-analysis-research-database/","Cadre Holdings Inc")</f>
        <v>0</v>
      </c>
      <c r="C275" t="s">
        <v>1921</v>
      </c>
      <c r="D275">
        <v>26.27</v>
      </c>
      <c r="E275">
        <v>0.012119277760394</v>
      </c>
      <c r="H275">
        <v>0.318373426765563</v>
      </c>
      <c r="I275">
        <v>980.718759</v>
      </c>
      <c r="J275">
        <v>0</v>
      </c>
      <c r="K275" t="s">
        <v>1921</v>
      </c>
      <c r="M275">
        <v>28.52</v>
      </c>
      <c r="N275">
        <v>13.96</v>
      </c>
    </row>
    <row r="276" spans="1:14">
      <c r="A276" s="1" t="s">
        <v>288</v>
      </c>
      <c r="B276">
        <f>HYPERLINK("https://www.suredividend.com/sure-analysis-research-database/","Chromadex Corp")</f>
        <v>0</v>
      </c>
      <c r="C276" t="s">
        <v>1922</v>
      </c>
      <c r="D276">
        <v>1.25</v>
      </c>
      <c r="E276">
        <v>0</v>
      </c>
      <c r="H276">
        <v>0</v>
      </c>
      <c r="I276">
        <v>85.4285</v>
      </c>
      <c r="J276">
        <v>0</v>
      </c>
      <c r="K276" t="s">
        <v>1921</v>
      </c>
      <c r="L276">
        <v>1.754408286807717</v>
      </c>
      <c r="M276">
        <v>6.98</v>
      </c>
      <c r="N276">
        <v>1.15</v>
      </c>
    </row>
    <row r="277" spans="1:14">
      <c r="A277" s="1" t="s">
        <v>289</v>
      </c>
      <c r="B277">
        <f>HYPERLINK("https://www.suredividend.com/sure-analysis-research-database/","Codexis Inc.")</f>
        <v>0</v>
      </c>
      <c r="C277" t="s">
        <v>1922</v>
      </c>
      <c r="D277">
        <v>5.27</v>
      </c>
      <c r="E277">
        <v>0</v>
      </c>
      <c r="H277">
        <v>0</v>
      </c>
      <c r="I277">
        <v>345.153886</v>
      </c>
      <c r="J277">
        <v>0</v>
      </c>
      <c r="K277" t="s">
        <v>1921</v>
      </c>
      <c r="L277">
        <v>1.84680379144272</v>
      </c>
      <c r="M277">
        <v>42.01</v>
      </c>
      <c r="N277">
        <v>5.19</v>
      </c>
    </row>
    <row r="278" spans="1:14">
      <c r="A278" s="1" t="s">
        <v>290</v>
      </c>
      <c r="B278">
        <f>HYPERLINK("https://www.suredividend.com/sure-analysis-research-database/","Cadiz Inc.")</f>
        <v>0</v>
      </c>
      <c r="C278" t="s">
        <v>1930</v>
      </c>
      <c r="D278">
        <v>1.88</v>
      </c>
      <c r="E278">
        <v>0</v>
      </c>
      <c r="H278">
        <v>0</v>
      </c>
      <c r="I278">
        <v>95.491906</v>
      </c>
      <c r="J278" t="s">
        <v>1921</v>
      </c>
      <c r="K278">
        <v>-0</v>
      </c>
      <c r="L278">
        <v>1.093617574289713</v>
      </c>
      <c r="M278">
        <v>7.62</v>
      </c>
      <c r="N278">
        <v>1.65</v>
      </c>
    </row>
    <row r="279" spans="1:14">
      <c r="A279" s="1" t="s">
        <v>291</v>
      </c>
      <c r="B279">
        <f>HYPERLINK("https://www.suredividend.com/sure-analysis-research-database/","Ceco Environmental Corp.")</f>
        <v>0</v>
      </c>
      <c r="C279" t="s">
        <v>1924</v>
      </c>
      <c r="D279">
        <v>9.75</v>
      </c>
      <c r="E279">
        <v>0</v>
      </c>
      <c r="H279">
        <v>0</v>
      </c>
      <c r="I279">
        <v>336.367278</v>
      </c>
      <c r="J279">
        <v>0</v>
      </c>
      <c r="K279" t="s">
        <v>1921</v>
      </c>
      <c r="L279">
        <v>0.815942569975548</v>
      </c>
      <c r="M279">
        <v>10.8</v>
      </c>
      <c r="N279">
        <v>4.09</v>
      </c>
    </row>
    <row r="280" spans="1:14">
      <c r="A280" s="1" t="s">
        <v>292</v>
      </c>
      <c r="B280">
        <f>HYPERLINK("https://www.suredividend.com/sure-analysis-research-database/","Consol Energy Inc")</f>
        <v>0</v>
      </c>
      <c r="C280" t="s">
        <v>1926</v>
      </c>
      <c r="D280">
        <v>68.48999999999999</v>
      </c>
      <c r="E280">
        <v>0</v>
      </c>
      <c r="H280">
        <v>0</v>
      </c>
      <c r="I280">
        <v>2388.091376</v>
      </c>
      <c r="J280">
        <v>19.04758824023928</v>
      </c>
      <c r="K280">
        <v>0</v>
      </c>
      <c r="L280">
        <v>0.8236215798174471</v>
      </c>
      <c r="M280">
        <v>79.17</v>
      </c>
      <c r="N280">
        <v>18.83</v>
      </c>
    </row>
    <row r="281" spans="1:14">
      <c r="A281" s="1" t="s">
        <v>293</v>
      </c>
      <c r="B281">
        <f>HYPERLINK("https://www.suredividend.com/sure-analysis-research-database/","Celcuity Inc")</f>
        <v>0</v>
      </c>
      <c r="C281" t="s">
        <v>1922</v>
      </c>
      <c r="D281">
        <v>10.09</v>
      </c>
      <c r="E281">
        <v>0</v>
      </c>
      <c r="H281">
        <v>0</v>
      </c>
      <c r="I281">
        <v>150.75806</v>
      </c>
      <c r="J281">
        <v>0</v>
      </c>
      <c r="K281" t="s">
        <v>1921</v>
      </c>
      <c r="L281">
        <v>0.871928850468467</v>
      </c>
      <c r="M281">
        <v>19.93</v>
      </c>
      <c r="N281">
        <v>4.81</v>
      </c>
    </row>
    <row r="282" spans="1:14">
      <c r="A282" s="1" t="s">
        <v>294</v>
      </c>
      <c r="B282">
        <f>HYPERLINK("https://www.suredividend.com/sure-analysis-research-database/","Celsius Holdings Inc")</f>
        <v>0</v>
      </c>
      <c r="C282" t="s">
        <v>1928</v>
      </c>
      <c r="D282">
        <v>89.23999999999999</v>
      </c>
      <c r="E282">
        <v>0</v>
      </c>
      <c r="H282">
        <v>0</v>
      </c>
      <c r="I282">
        <v>6750.196058</v>
      </c>
      <c r="J282">
        <v>0</v>
      </c>
      <c r="K282" t="s">
        <v>1921</v>
      </c>
      <c r="L282">
        <v>2.226851969920282</v>
      </c>
      <c r="M282">
        <v>118.19</v>
      </c>
      <c r="N282">
        <v>38.31</v>
      </c>
    </row>
    <row r="283" spans="1:14">
      <c r="A283" s="1" t="s">
        <v>295</v>
      </c>
      <c r="B283">
        <f>HYPERLINK("https://www.suredividend.com/sure-analysis-research-database/","Central Garden &amp; Pet Co.")</f>
        <v>0</v>
      </c>
      <c r="C283" t="s">
        <v>1928</v>
      </c>
      <c r="D283">
        <v>36.75</v>
      </c>
      <c r="E283">
        <v>0</v>
      </c>
      <c r="H283">
        <v>0</v>
      </c>
      <c r="I283">
        <v>1885.739552</v>
      </c>
      <c r="J283">
        <v>12.4771863019155</v>
      </c>
      <c r="K283">
        <v>0</v>
      </c>
      <c r="L283">
        <v>0.639194616396309</v>
      </c>
      <c r="M283">
        <v>57.32</v>
      </c>
      <c r="N283">
        <v>35.62</v>
      </c>
    </row>
    <row r="284" spans="1:14">
      <c r="A284" s="1" t="s">
        <v>296</v>
      </c>
      <c r="B284">
        <f>HYPERLINK("https://www.suredividend.com/sure-analysis-research-database/","Central Garden &amp; Pet Co.")</f>
        <v>0</v>
      </c>
      <c r="C284" t="s">
        <v>1928</v>
      </c>
      <c r="D284">
        <v>34.89</v>
      </c>
      <c r="E284">
        <v>0</v>
      </c>
      <c r="H284">
        <v>0</v>
      </c>
      <c r="I284">
        <v>1885.739552</v>
      </c>
      <c r="J284">
        <v>0</v>
      </c>
      <c r="K284" t="s">
        <v>1921</v>
      </c>
      <c r="L284">
        <v>0.6361161609893581</v>
      </c>
      <c r="M284">
        <v>52.04</v>
      </c>
      <c r="N284">
        <v>33.69</v>
      </c>
    </row>
    <row r="285" spans="1:14">
      <c r="A285" s="1" t="s">
        <v>297</v>
      </c>
      <c r="B285">
        <f>HYPERLINK("https://www.suredividend.com/sure-analysis-research-database/","Century Aluminum Co.")</f>
        <v>0</v>
      </c>
      <c r="C285" t="s">
        <v>1925</v>
      </c>
      <c r="D285">
        <v>6.17</v>
      </c>
      <c r="E285">
        <v>0</v>
      </c>
      <c r="H285">
        <v>0</v>
      </c>
      <c r="I285">
        <v>563.6796000000001</v>
      </c>
      <c r="J285">
        <v>9.441869353433836</v>
      </c>
      <c r="K285">
        <v>0</v>
      </c>
      <c r="L285">
        <v>1.657911053962828</v>
      </c>
      <c r="M285">
        <v>30.36</v>
      </c>
      <c r="N285">
        <v>5.27</v>
      </c>
    </row>
    <row r="286" spans="1:14">
      <c r="A286" s="1" t="s">
        <v>298</v>
      </c>
      <c r="B286">
        <f>HYPERLINK("https://www.suredividend.com/sure-analysis-research-database/","Cerevel Therapeutics Holdings Inc")</f>
        <v>0</v>
      </c>
      <c r="C286" t="s">
        <v>1921</v>
      </c>
      <c r="D286">
        <v>26.99</v>
      </c>
      <c r="E286">
        <v>0</v>
      </c>
      <c r="H286">
        <v>0</v>
      </c>
      <c r="I286">
        <v>4008.067846</v>
      </c>
      <c r="J286">
        <v>0</v>
      </c>
      <c r="K286" t="s">
        <v>1921</v>
      </c>
      <c r="L286">
        <v>1.574563692347608</v>
      </c>
      <c r="M286">
        <v>46.16</v>
      </c>
      <c r="N286">
        <v>19.86</v>
      </c>
    </row>
    <row r="287" spans="1:14">
      <c r="A287" s="1" t="s">
        <v>299</v>
      </c>
      <c r="B287">
        <f>HYPERLINK("https://www.suredividend.com/sure-analysis-research-database/","Cerus Corp.")</f>
        <v>0</v>
      </c>
      <c r="C287" t="s">
        <v>1922</v>
      </c>
      <c r="D287">
        <v>3.48</v>
      </c>
      <c r="E287">
        <v>0</v>
      </c>
      <c r="H287">
        <v>0</v>
      </c>
      <c r="I287">
        <v>616.274467</v>
      </c>
      <c r="J287" t="s">
        <v>1921</v>
      </c>
      <c r="K287">
        <v>-0</v>
      </c>
      <c r="L287">
        <v>1.662341623731737</v>
      </c>
      <c r="M287">
        <v>8.06</v>
      </c>
      <c r="N287">
        <v>3.39</v>
      </c>
    </row>
    <row r="288" spans="1:14">
      <c r="A288" s="1" t="s">
        <v>300</v>
      </c>
      <c r="B288">
        <f>HYPERLINK("https://www.suredividend.com/sure-analysis-research-database/","Ceva Inc.")</f>
        <v>0</v>
      </c>
      <c r="C288" t="s">
        <v>1920</v>
      </c>
      <c r="D288">
        <v>25.57</v>
      </c>
      <c r="E288">
        <v>0</v>
      </c>
      <c r="H288">
        <v>0</v>
      </c>
      <c r="I288">
        <v>593.333286</v>
      </c>
      <c r="J288">
        <v>665.1718454932735</v>
      </c>
      <c r="K288">
        <v>0</v>
      </c>
      <c r="L288">
        <v>1.486247266774177</v>
      </c>
      <c r="M288">
        <v>50.85</v>
      </c>
      <c r="N288">
        <v>25.11</v>
      </c>
    </row>
    <row r="289" spans="1:14">
      <c r="A289" s="1" t="s">
        <v>301</v>
      </c>
      <c r="B289">
        <f>HYPERLINK("https://www.suredividend.com/sure-analysis-research-database/","Crossfirst Bankshares Inc")</f>
        <v>0</v>
      </c>
      <c r="C289" t="s">
        <v>1923</v>
      </c>
      <c r="D289">
        <v>13.12</v>
      </c>
      <c r="E289">
        <v>0</v>
      </c>
      <c r="H289">
        <v>0</v>
      </c>
      <c r="I289">
        <v>646.959126</v>
      </c>
      <c r="J289">
        <v>0</v>
      </c>
      <c r="K289" t="s">
        <v>1921</v>
      </c>
      <c r="L289">
        <v>0.4577884124827921</v>
      </c>
      <c r="M289">
        <v>16.5</v>
      </c>
      <c r="N289">
        <v>12.27</v>
      </c>
    </row>
    <row r="290" spans="1:14">
      <c r="A290" s="1" t="s">
        <v>302</v>
      </c>
      <c r="B290">
        <f>HYPERLINK("https://www.suredividend.com/sure-analysis-research-database/","Capitol Federal Financial")</f>
        <v>0</v>
      </c>
      <c r="C290" t="s">
        <v>1923</v>
      </c>
      <c r="D290">
        <v>8.26</v>
      </c>
      <c r="E290">
        <v>0.039841968748412</v>
      </c>
      <c r="F290">
        <v>-0.6136363636363635</v>
      </c>
      <c r="G290">
        <v>-0.1940728557209199</v>
      </c>
      <c r="H290">
        <v>0.329094661861888</v>
      </c>
      <c r="I290">
        <v>1146.974382</v>
      </c>
      <c r="J290">
        <v>13.74148634015431</v>
      </c>
      <c r="K290">
        <v>0.5348523677261303</v>
      </c>
      <c r="L290">
        <v>0.4034977151219331</v>
      </c>
      <c r="M290">
        <v>12</v>
      </c>
      <c r="N290">
        <v>8.220000000000001</v>
      </c>
    </row>
    <row r="291" spans="1:14">
      <c r="A291" s="1" t="s">
        <v>303</v>
      </c>
      <c r="B291">
        <f>HYPERLINK("https://www.suredividend.com/sure-analysis-research-database/","Cullinan Oncology Inc")</f>
        <v>0</v>
      </c>
      <c r="C291" t="s">
        <v>1921</v>
      </c>
      <c r="D291">
        <v>12.64</v>
      </c>
      <c r="E291">
        <v>0</v>
      </c>
      <c r="H291">
        <v>0</v>
      </c>
      <c r="I291">
        <v>576.538271</v>
      </c>
      <c r="J291">
        <v>0</v>
      </c>
      <c r="K291" t="s">
        <v>1921</v>
      </c>
      <c r="L291">
        <v>1.416096016796378</v>
      </c>
      <c r="M291">
        <v>25.05</v>
      </c>
      <c r="N291">
        <v>7.3</v>
      </c>
    </row>
    <row r="292" spans="1:14">
      <c r="A292" s="1" t="s">
        <v>304</v>
      </c>
      <c r="B292">
        <f>HYPERLINK("https://www.suredividend.com/sure-analysis-research-database/","City Holding Co.")</f>
        <v>0</v>
      </c>
      <c r="C292" t="s">
        <v>1923</v>
      </c>
      <c r="D292">
        <v>90.48999999999999</v>
      </c>
      <c r="E292">
        <v>0.026004180487618</v>
      </c>
      <c r="F292">
        <v>0.03448275862068995</v>
      </c>
      <c r="G292">
        <v>0.06399531281508364</v>
      </c>
      <c r="H292">
        <v>2.353118292324619</v>
      </c>
      <c r="I292">
        <v>1344.245057</v>
      </c>
      <c r="J292">
        <v>15.05617097757667</v>
      </c>
      <c r="K292">
        <v>0.3968159008979121</v>
      </c>
      <c r="L292">
        <v>0.3992203418383301</v>
      </c>
      <c r="M292">
        <v>91.84</v>
      </c>
      <c r="N292">
        <v>72.61</v>
      </c>
    </row>
    <row r="293" spans="1:14">
      <c r="A293" s="1" t="s">
        <v>305</v>
      </c>
      <c r="B293">
        <f>HYPERLINK("https://www.suredividend.com/sure-analysis-CHCT/","Community Healthcare Trust Inc")</f>
        <v>0</v>
      </c>
      <c r="C293" t="s">
        <v>1929</v>
      </c>
      <c r="D293">
        <v>31.06</v>
      </c>
      <c r="E293">
        <v>0.05698647778493239</v>
      </c>
      <c r="F293">
        <v>0.02312138728323698</v>
      </c>
      <c r="G293">
        <v>0.02297079677433556</v>
      </c>
      <c r="H293">
        <v>1.725974743785457</v>
      </c>
      <c r="I293">
        <v>779.582891</v>
      </c>
      <c r="J293">
        <v>38.94020436363636</v>
      </c>
      <c r="K293">
        <v>2.030319660963954</v>
      </c>
      <c r="L293">
        <v>0.575402277268194</v>
      </c>
      <c r="M293">
        <v>47.16</v>
      </c>
      <c r="N293">
        <v>30.38</v>
      </c>
    </row>
    <row r="294" spans="1:14">
      <c r="A294" s="1" t="s">
        <v>306</v>
      </c>
      <c r="B294">
        <f>HYPERLINK("https://www.suredividend.com/sure-analysis-research-database/","Chefs` Warehouse Inc")</f>
        <v>0</v>
      </c>
      <c r="C294" t="s">
        <v>1928</v>
      </c>
      <c r="D294">
        <v>30.95</v>
      </c>
      <c r="E294">
        <v>0</v>
      </c>
      <c r="H294">
        <v>0</v>
      </c>
      <c r="I294">
        <v>1184.173679</v>
      </c>
      <c r="J294">
        <v>0</v>
      </c>
      <c r="K294" t="s">
        <v>1921</v>
      </c>
      <c r="L294">
        <v>1.10634144305409</v>
      </c>
      <c r="M294">
        <v>42.16</v>
      </c>
      <c r="N294">
        <v>26.28</v>
      </c>
    </row>
    <row r="295" spans="1:14">
      <c r="A295" s="1" t="s">
        <v>307</v>
      </c>
      <c r="B295">
        <f>HYPERLINK("https://www.suredividend.com/sure-analysis-research-database/","Chesapeake Energy Corp.")</f>
        <v>0</v>
      </c>
      <c r="C295" t="s">
        <v>1926</v>
      </c>
      <c r="D295">
        <v>97.63</v>
      </c>
      <c r="E295">
        <v>0.06990128159719401</v>
      </c>
      <c r="H295">
        <v>6.824462122334115</v>
      </c>
      <c r="I295">
        <v>11798.558164</v>
      </c>
      <c r="J295">
        <v>0</v>
      </c>
      <c r="K295" t="s">
        <v>1921</v>
      </c>
      <c r="L295">
        <v>0.7660188529041191</v>
      </c>
      <c r="M295">
        <v>105.93</v>
      </c>
      <c r="N295">
        <v>55.81</v>
      </c>
    </row>
    <row r="296" spans="1:14">
      <c r="A296" s="1" t="s">
        <v>308</v>
      </c>
      <c r="B296">
        <f>HYPERLINK("https://www.suredividend.com/sure-analysis-research-database/","Coherus Biosciences Inc")</f>
        <v>0</v>
      </c>
      <c r="C296" t="s">
        <v>1922</v>
      </c>
      <c r="D296">
        <v>8.609999999999999</v>
      </c>
      <c r="E296">
        <v>0</v>
      </c>
      <c r="H296">
        <v>0</v>
      </c>
      <c r="I296">
        <v>669.208711</v>
      </c>
      <c r="J296" t="s">
        <v>1921</v>
      </c>
      <c r="K296">
        <v>-0</v>
      </c>
      <c r="L296">
        <v>1.467142321477779</v>
      </c>
      <c r="M296">
        <v>19.32</v>
      </c>
      <c r="N296">
        <v>5.6</v>
      </c>
    </row>
    <row r="297" spans="1:14">
      <c r="A297" s="1" t="s">
        <v>309</v>
      </c>
      <c r="B297">
        <f>HYPERLINK("https://www.suredividend.com/sure-analysis-research-database/","Chico`s Fas, Inc.")</f>
        <v>0</v>
      </c>
      <c r="C297" t="s">
        <v>1927</v>
      </c>
      <c r="D297">
        <v>4.99</v>
      </c>
      <c r="E297">
        <v>0</v>
      </c>
      <c r="H297">
        <v>0</v>
      </c>
      <c r="I297">
        <v>624.465606</v>
      </c>
      <c r="J297">
        <v>5.926576688336956</v>
      </c>
      <c r="K297">
        <v>0</v>
      </c>
      <c r="L297">
        <v>1.410224183050205</v>
      </c>
      <c r="M297">
        <v>7.19</v>
      </c>
      <c r="N297">
        <v>3.8</v>
      </c>
    </row>
    <row r="298" spans="1:14">
      <c r="A298" s="1" t="s">
        <v>310</v>
      </c>
      <c r="B298">
        <f>HYPERLINK("https://www.suredividend.com/sure-analysis-research-database/","Chuy`s Holdings Inc")</f>
        <v>0</v>
      </c>
      <c r="C298" t="s">
        <v>1927</v>
      </c>
      <c r="D298">
        <v>23.92</v>
      </c>
      <c r="E298">
        <v>0</v>
      </c>
      <c r="H298">
        <v>0</v>
      </c>
      <c r="I298">
        <v>453.011719</v>
      </c>
      <c r="J298">
        <v>0</v>
      </c>
      <c r="K298" t="s">
        <v>1921</v>
      </c>
      <c r="L298">
        <v>1.185626232467499</v>
      </c>
      <c r="M298">
        <v>34.87</v>
      </c>
      <c r="N298">
        <v>18.64</v>
      </c>
    </row>
    <row r="299" spans="1:14">
      <c r="A299" s="1" t="s">
        <v>311</v>
      </c>
      <c r="B299">
        <f>HYPERLINK("https://www.suredividend.com/sure-analysis-research-database/","ChampionX Corporation")</f>
        <v>0</v>
      </c>
      <c r="C299" t="s">
        <v>1921</v>
      </c>
      <c r="D299">
        <v>21.08</v>
      </c>
      <c r="E299">
        <v>0.010636228659123</v>
      </c>
      <c r="H299">
        <v>0.224211700134331</v>
      </c>
      <c r="I299">
        <v>4277.825595</v>
      </c>
      <c r="J299">
        <v>26.03334689564937</v>
      </c>
      <c r="K299">
        <v>0.284857959769192</v>
      </c>
      <c r="L299">
        <v>1.064499798109855</v>
      </c>
      <c r="M299">
        <v>27.79</v>
      </c>
      <c r="N299">
        <v>16.58</v>
      </c>
    </row>
    <row r="300" spans="1:14">
      <c r="A300" s="1" t="s">
        <v>312</v>
      </c>
      <c r="B300">
        <f>HYPERLINK("https://www.suredividend.com/sure-analysis-research-database/","Citizens, Inc.")</f>
        <v>0</v>
      </c>
      <c r="C300" t="s">
        <v>1923</v>
      </c>
      <c r="D300">
        <v>3.28</v>
      </c>
      <c r="E300">
        <v>0</v>
      </c>
      <c r="H300">
        <v>0</v>
      </c>
      <c r="I300">
        <v>165.668339</v>
      </c>
      <c r="J300">
        <v>5.439417513215353</v>
      </c>
      <c r="K300">
        <v>0</v>
      </c>
      <c r="L300">
        <v>0.44570739216919</v>
      </c>
      <c r="M300">
        <v>6.99</v>
      </c>
      <c r="N300">
        <v>2.45</v>
      </c>
    </row>
    <row r="301" spans="1:14">
      <c r="A301" s="1" t="s">
        <v>313</v>
      </c>
      <c r="B301">
        <f>HYPERLINK("https://www.suredividend.com/sure-analysis-CIM/","Chimera Investment Corp")</f>
        <v>0</v>
      </c>
      <c r="C301" t="s">
        <v>1929</v>
      </c>
      <c r="D301">
        <v>5.03</v>
      </c>
      <c r="E301">
        <v>0.2624254473161034</v>
      </c>
      <c r="F301">
        <v>-0.303030303030303</v>
      </c>
      <c r="G301">
        <v>-0.1438466381942645</v>
      </c>
      <c r="H301">
        <v>1.151690780560823</v>
      </c>
      <c r="I301">
        <v>1165.708818</v>
      </c>
      <c r="J301" t="s">
        <v>1921</v>
      </c>
      <c r="K301" t="s">
        <v>1921</v>
      </c>
      <c r="L301">
        <v>1.110622108934889</v>
      </c>
      <c r="M301">
        <v>14.9</v>
      </c>
      <c r="N301">
        <v>4.94</v>
      </c>
    </row>
    <row r="302" spans="1:14">
      <c r="A302" s="1" t="s">
        <v>314</v>
      </c>
      <c r="B302">
        <f>HYPERLINK("https://www.suredividend.com/sure-analysis-research-database/","CinCor Pharma Inc")</f>
        <v>0</v>
      </c>
      <c r="C302" t="s">
        <v>1921</v>
      </c>
      <c r="D302">
        <v>33.97</v>
      </c>
      <c r="E302">
        <v>0</v>
      </c>
      <c r="H302">
        <v>0</v>
      </c>
      <c r="I302">
        <v>1282.004802</v>
      </c>
      <c r="J302">
        <v>0</v>
      </c>
      <c r="K302" t="s">
        <v>1921</v>
      </c>
      <c r="M302">
        <v>43.15</v>
      </c>
      <c r="N302">
        <v>13</v>
      </c>
    </row>
    <row r="303" spans="1:14">
      <c r="A303" s="1" t="s">
        <v>315</v>
      </c>
      <c r="B303">
        <f>HYPERLINK("https://www.suredividend.com/sure-analysis-CIO/","City Office REIT Inc")</f>
        <v>0</v>
      </c>
      <c r="C303" t="s">
        <v>1929</v>
      </c>
      <c r="D303">
        <v>9.220000000000001</v>
      </c>
      <c r="E303">
        <v>0.08676789587852494</v>
      </c>
      <c r="F303">
        <v>0.3333333333333335</v>
      </c>
      <c r="G303">
        <v>-0.03173902863120104</v>
      </c>
      <c r="H303">
        <v>0.779368086156435</v>
      </c>
      <c r="I303">
        <v>383.301861</v>
      </c>
      <c r="J303">
        <v>0.8444353268783801</v>
      </c>
      <c r="K303">
        <v>0.07640863589768972</v>
      </c>
      <c r="L303">
        <v>0.87864276465677</v>
      </c>
      <c r="M303">
        <v>20.48</v>
      </c>
      <c r="N303">
        <v>9.08</v>
      </c>
    </row>
    <row r="304" spans="1:14">
      <c r="A304" s="1" t="s">
        <v>316</v>
      </c>
      <c r="B304">
        <f>HYPERLINK("https://www.suredividend.com/sure-analysis-research-database/","Circor International Inc")</f>
        <v>0</v>
      </c>
      <c r="C304" t="s">
        <v>1924</v>
      </c>
      <c r="D304">
        <v>17.51</v>
      </c>
      <c r="E304">
        <v>0</v>
      </c>
      <c r="H304">
        <v>0</v>
      </c>
      <c r="I304">
        <v>356.562259</v>
      </c>
      <c r="J304" t="s">
        <v>1921</v>
      </c>
      <c r="K304">
        <v>-0</v>
      </c>
      <c r="L304">
        <v>1.329943750133834</v>
      </c>
      <c r="M304">
        <v>36.48</v>
      </c>
      <c r="N304">
        <v>13.26</v>
      </c>
    </row>
    <row r="305" spans="1:14">
      <c r="A305" s="1" t="s">
        <v>317</v>
      </c>
      <c r="B305">
        <f>HYPERLINK("https://www.suredividend.com/sure-analysis-research-database/","Civista Bancshares Inc")</f>
        <v>0</v>
      </c>
      <c r="C305" t="s">
        <v>1923</v>
      </c>
      <c r="D305">
        <v>20.73</v>
      </c>
      <c r="E305">
        <v>0.026756046822508</v>
      </c>
      <c r="F305">
        <v>0</v>
      </c>
      <c r="G305">
        <v>0.1486983549970351</v>
      </c>
      <c r="H305">
        <v>0.554652850630599</v>
      </c>
      <c r="I305">
        <v>319.637176</v>
      </c>
      <c r="J305">
        <v>8.687917588268871</v>
      </c>
      <c r="K305">
        <v>0.2236503429962093</v>
      </c>
      <c r="L305">
        <v>0.488629550746446</v>
      </c>
      <c r="M305">
        <v>25.45</v>
      </c>
      <c r="N305">
        <v>19.84</v>
      </c>
    </row>
    <row r="306" spans="1:14">
      <c r="A306" s="1" t="s">
        <v>318</v>
      </c>
      <c r="B306">
        <f>HYPERLINK("https://www.suredividend.com/sure-analysis-research-database/","Civitas Resources Inc")</f>
        <v>0</v>
      </c>
      <c r="C306" t="s">
        <v>1921</v>
      </c>
      <c r="D306">
        <v>64.41</v>
      </c>
      <c r="E306">
        <v>0.042172285615506</v>
      </c>
      <c r="H306">
        <v>2.71631691649476</v>
      </c>
      <c r="I306">
        <v>5476.908737</v>
      </c>
      <c r="J306">
        <v>7.161052140218796</v>
      </c>
      <c r="K306">
        <v>0.239957324778689</v>
      </c>
      <c r="L306">
        <v>1.049037466178283</v>
      </c>
      <c r="M306">
        <v>83.13</v>
      </c>
      <c r="N306">
        <v>43.22</v>
      </c>
    </row>
    <row r="307" spans="1:14">
      <c r="A307" s="1" t="s">
        <v>319</v>
      </c>
      <c r="B307">
        <f>HYPERLINK("https://www.suredividend.com/sure-analysis-research-database/","Compx International, Inc.")</f>
        <v>0</v>
      </c>
      <c r="C307" t="s">
        <v>1924</v>
      </c>
      <c r="D307">
        <v>17.89</v>
      </c>
      <c r="E307">
        <v>0.049833687134291</v>
      </c>
      <c r="F307">
        <v>0.25</v>
      </c>
      <c r="G307">
        <v>0.3797296614612149</v>
      </c>
      <c r="H307">
        <v>0.8915246628324771</v>
      </c>
      <c r="I307">
        <v>220.175039</v>
      </c>
      <c r="J307">
        <v>11.95109584378223</v>
      </c>
      <c r="K307">
        <v>0.5983386998875685</v>
      </c>
      <c r="L307">
        <v>0.635578457505651</v>
      </c>
      <c r="M307">
        <v>26.74</v>
      </c>
      <c r="N307">
        <v>16.01</v>
      </c>
    </row>
    <row r="308" spans="1:14">
      <c r="A308" s="1" t="s">
        <v>320</v>
      </c>
      <c r="B308">
        <f>HYPERLINK("https://www.suredividend.com/sure-analysis-research-database/","Clarus Corp")</f>
        <v>0</v>
      </c>
      <c r="C308" t="s">
        <v>1927</v>
      </c>
      <c r="D308">
        <v>12.71</v>
      </c>
      <c r="E308">
        <v>0.007854034706790001</v>
      </c>
      <c r="H308">
        <v>0.099824781123307</v>
      </c>
      <c r="I308">
        <v>475.031102</v>
      </c>
      <c r="J308">
        <v>17.18076973669934</v>
      </c>
      <c r="K308">
        <v>0.1410751570425481</v>
      </c>
      <c r="L308">
        <v>1.659618667211116</v>
      </c>
      <c r="M308">
        <v>31.06</v>
      </c>
      <c r="N308">
        <v>11.93</v>
      </c>
    </row>
    <row r="309" spans="1:14">
      <c r="A309" s="1" t="s">
        <v>321</v>
      </c>
      <c r="B309">
        <f>HYPERLINK("https://www.suredividend.com/sure-analysis-research-database/","Columbia Financial, Inc")</f>
        <v>0</v>
      </c>
      <c r="C309" t="s">
        <v>1923</v>
      </c>
      <c r="D309">
        <v>21.58</v>
      </c>
      <c r="E309">
        <v>0</v>
      </c>
      <c r="H309">
        <v>0</v>
      </c>
      <c r="I309">
        <v>2384.587799</v>
      </c>
      <c r="J309">
        <v>27.19679511445157</v>
      </c>
      <c r="K309">
        <v>0</v>
      </c>
      <c r="L309">
        <v>0.343225432568541</v>
      </c>
      <c r="M309">
        <v>22.86</v>
      </c>
      <c r="N309">
        <v>18.02</v>
      </c>
    </row>
    <row r="310" spans="1:14">
      <c r="A310" s="1" t="s">
        <v>322</v>
      </c>
      <c r="B310">
        <f>HYPERLINK("https://www.suredividend.com/sure-analysis-research-database/","Chatham Lodging Trust")</f>
        <v>0</v>
      </c>
      <c r="C310" t="s">
        <v>1929</v>
      </c>
      <c r="D310">
        <v>10.48</v>
      </c>
      <c r="E310">
        <v>0</v>
      </c>
      <c r="F310">
        <v>0</v>
      </c>
      <c r="G310">
        <v>0</v>
      </c>
      <c r="H310">
        <v>0</v>
      </c>
      <c r="I310">
        <v>511.492172</v>
      </c>
      <c r="J310" t="s">
        <v>1921</v>
      </c>
      <c r="K310">
        <v>-0</v>
      </c>
      <c r="L310">
        <v>1.094261752520801</v>
      </c>
      <c r="M310">
        <v>15.12</v>
      </c>
      <c r="N310">
        <v>9.59</v>
      </c>
    </row>
    <row r="311" spans="1:14">
      <c r="A311" s="1" t="s">
        <v>323</v>
      </c>
      <c r="B311">
        <f>HYPERLINK("https://www.suredividend.com/sure-analysis-research-database/","Celldex Therapeutics Inc.")</f>
        <v>0</v>
      </c>
      <c r="C311" t="s">
        <v>1922</v>
      </c>
      <c r="D311">
        <v>27.98</v>
      </c>
      <c r="E311">
        <v>0</v>
      </c>
      <c r="H311">
        <v>0</v>
      </c>
      <c r="I311">
        <v>1308.690381</v>
      </c>
      <c r="J311" t="s">
        <v>1921</v>
      </c>
      <c r="K311">
        <v>-0</v>
      </c>
      <c r="L311">
        <v>1.452544899734703</v>
      </c>
      <c r="M311">
        <v>52.97</v>
      </c>
      <c r="N311">
        <v>19.85</v>
      </c>
    </row>
    <row r="312" spans="1:14">
      <c r="A312" s="1" t="s">
        <v>324</v>
      </c>
      <c r="B312">
        <f>HYPERLINK("https://www.suredividend.com/sure-analysis-research-database/","Clearfield Inc")</f>
        <v>0</v>
      </c>
      <c r="C312" t="s">
        <v>1920</v>
      </c>
      <c r="D312">
        <v>94.81999999999999</v>
      </c>
      <c r="E312">
        <v>0</v>
      </c>
      <c r="H312">
        <v>0</v>
      </c>
      <c r="I312">
        <v>1306.399807</v>
      </c>
      <c r="J312">
        <v>0</v>
      </c>
      <c r="K312" t="s">
        <v>1921</v>
      </c>
      <c r="L312">
        <v>1.850769793476616</v>
      </c>
      <c r="M312">
        <v>130.01</v>
      </c>
      <c r="N312">
        <v>44.15</v>
      </c>
    </row>
    <row r="313" spans="1:14">
      <c r="A313" s="1" t="s">
        <v>325</v>
      </c>
      <c r="B313">
        <f>HYPERLINK("https://www.suredividend.com/sure-analysis-research-database/","Clean Energy Fuels Corp")</f>
        <v>0</v>
      </c>
      <c r="C313" t="s">
        <v>1926</v>
      </c>
      <c r="D313">
        <v>5.17</v>
      </c>
      <c r="E313">
        <v>0</v>
      </c>
      <c r="H313">
        <v>0</v>
      </c>
      <c r="I313">
        <v>1151.760352</v>
      </c>
      <c r="J313" t="s">
        <v>1921</v>
      </c>
      <c r="K313">
        <v>-0</v>
      </c>
      <c r="L313">
        <v>1.777894869111486</v>
      </c>
      <c r="M313">
        <v>9.69</v>
      </c>
      <c r="N313">
        <v>4.02</v>
      </c>
    </row>
    <row r="314" spans="1:14">
      <c r="A314" s="1" t="s">
        <v>326</v>
      </c>
      <c r="B314">
        <f>HYPERLINK("https://www.suredividend.com/sure-analysis-research-database/","Clene Inc")</f>
        <v>0</v>
      </c>
      <c r="C314" t="s">
        <v>1921</v>
      </c>
      <c r="D314">
        <v>1.58</v>
      </c>
      <c r="E314">
        <v>0</v>
      </c>
      <c r="H314">
        <v>0</v>
      </c>
      <c r="I314">
        <v>100.333135</v>
      </c>
      <c r="J314">
        <v>0</v>
      </c>
      <c r="K314" t="s">
        <v>1921</v>
      </c>
      <c r="L314">
        <v>1.117852250564668</v>
      </c>
      <c r="M314">
        <v>6.78</v>
      </c>
      <c r="N314">
        <v>1.53</v>
      </c>
    </row>
    <row r="315" spans="1:14">
      <c r="A315" s="1" t="s">
        <v>327</v>
      </c>
      <c r="B315">
        <f>HYPERLINK("https://www.suredividend.com/sure-analysis-CLPR/","Clipper Realty Inc")</f>
        <v>0</v>
      </c>
      <c r="C315" t="s">
        <v>1929</v>
      </c>
      <c r="D315">
        <v>6.58</v>
      </c>
      <c r="E315">
        <v>0.05775075987841945</v>
      </c>
      <c r="F315">
        <v>0</v>
      </c>
      <c r="G315">
        <v>0</v>
      </c>
      <c r="H315">
        <v>0.374055893044165</v>
      </c>
      <c r="I315">
        <v>105.69604</v>
      </c>
      <c r="J315">
        <v>0</v>
      </c>
      <c r="K315" t="s">
        <v>1921</v>
      </c>
      <c r="L315">
        <v>0.7576140615232481</v>
      </c>
      <c r="M315">
        <v>10.09</v>
      </c>
      <c r="N315">
        <v>6.58</v>
      </c>
    </row>
    <row r="316" spans="1:14">
      <c r="A316" s="1" t="s">
        <v>328</v>
      </c>
      <c r="B316">
        <f>HYPERLINK("https://www.suredividend.com/sure-analysis-research-database/","ClearPoint Neuro Inc")</f>
        <v>0</v>
      </c>
      <c r="C316" t="s">
        <v>1922</v>
      </c>
      <c r="D316">
        <v>9.76</v>
      </c>
      <c r="E316">
        <v>0</v>
      </c>
      <c r="H316">
        <v>0</v>
      </c>
      <c r="I316">
        <v>239.005369</v>
      </c>
      <c r="J316">
        <v>0</v>
      </c>
      <c r="K316" t="s">
        <v>1921</v>
      </c>
      <c r="L316">
        <v>1.844403464343473</v>
      </c>
      <c r="M316">
        <v>20.55</v>
      </c>
      <c r="N316">
        <v>7</v>
      </c>
    </row>
    <row r="317" spans="1:14">
      <c r="A317" s="1" t="s">
        <v>329</v>
      </c>
      <c r="B317">
        <f>HYPERLINK("https://www.suredividend.com/sure-analysis-research-database/","Cleanspark Inc")</f>
        <v>0</v>
      </c>
      <c r="C317" t="s">
        <v>1920</v>
      </c>
      <c r="D317">
        <v>2.91</v>
      </c>
      <c r="E317">
        <v>0</v>
      </c>
      <c r="H317">
        <v>0</v>
      </c>
      <c r="I317">
        <v>137.04888</v>
      </c>
      <c r="J317">
        <v>0</v>
      </c>
      <c r="K317" t="s">
        <v>1921</v>
      </c>
      <c r="L317">
        <v>2.750399149116081</v>
      </c>
      <c r="M317">
        <v>23.6</v>
      </c>
      <c r="N317">
        <v>2.81</v>
      </c>
    </row>
    <row r="318" spans="1:14">
      <c r="A318" s="1" t="s">
        <v>330</v>
      </c>
      <c r="B318">
        <f>HYPERLINK("https://www.suredividend.com/sure-analysis-research-database/","Clovis Oncology Inc")</f>
        <v>0</v>
      </c>
      <c r="C318" t="s">
        <v>1922</v>
      </c>
      <c r="D318">
        <v>1.06</v>
      </c>
      <c r="E318">
        <v>0</v>
      </c>
      <c r="H318">
        <v>0</v>
      </c>
      <c r="I318">
        <v>153.149028</v>
      </c>
      <c r="J318" t="s">
        <v>1921</v>
      </c>
      <c r="K318">
        <v>-0</v>
      </c>
      <c r="L318">
        <v>1.951009117948331</v>
      </c>
      <c r="M318">
        <v>4.76</v>
      </c>
      <c r="N318">
        <v>0.581</v>
      </c>
    </row>
    <row r="319" spans="1:14">
      <c r="A319" s="1" t="s">
        <v>331</v>
      </c>
      <c r="B319">
        <f>HYPERLINK("https://www.suredividend.com/sure-analysis-research-database/","Clearwater Paper Corp")</f>
        <v>0</v>
      </c>
      <c r="C319" t="s">
        <v>1925</v>
      </c>
      <c r="D319">
        <v>38.82</v>
      </c>
      <c r="E319">
        <v>0</v>
      </c>
      <c r="H319">
        <v>0</v>
      </c>
      <c r="I319">
        <v>649.904603</v>
      </c>
      <c r="J319">
        <v>15.22024831334895</v>
      </c>
      <c r="K319">
        <v>0</v>
      </c>
      <c r="L319">
        <v>0.520747798667601</v>
      </c>
      <c r="M319">
        <v>46.48</v>
      </c>
      <c r="N319">
        <v>25.07</v>
      </c>
    </row>
    <row r="320" spans="1:14">
      <c r="A320" s="1" t="s">
        <v>332</v>
      </c>
      <c r="B320">
        <f>HYPERLINK("https://www.suredividend.com/sure-analysis-research-database/","Cambium Networks Corp")</f>
        <v>0</v>
      </c>
      <c r="C320" t="s">
        <v>1920</v>
      </c>
      <c r="D320">
        <v>17.17</v>
      </c>
      <c r="E320">
        <v>0</v>
      </c>
      <c r="H320">
        <v>0</v>
      </c>
      <c r="I320">
        <v>462.975623</v>
      </c>
      <c r="J320">
        <v>0</v>
      </c>
      <c r="K320" t="s">
        <v>1921</v>
      </c>
      <c r="L320">
        <v>1.534629354391179</v>
      </c>
      <c r="M320">
        <v>36.15</v>
      </c>
      <c r="N320">
        <v>12.4</v>
      </c>
    </row>
    <row r="321" spans="1:14">
      <c r="A321" s="1" t="s">
        <v>333</v>
      </c>
      <c r="B321">
        <f>HYPERLINK("https://www.suredividend.com/sure-analysis-research-database/","Commercial Metals Co.")</f>
        <v>0</v>
      </c>
      <c r="C321" t="s">
        <v>1925</v>
      </c>
      <c r="D321">
        <v>39.88</v>
      </c>
      <c r="E321">
        <v>0.013965100820443</v>
      </c>
      <c r="F321">
        <v>0.1666666666666667</v>
      </c>
      <c r="G321">
        <v>0.03131030647754507</v>
      </c>
      <c r="H321">
        <v>0.5569282207192741</v>
      </c>
      <c r="I321">
        <v>4805.157431</v>
      </c>
      <c r="J321">
        <v>4.446588945207419</v>
      </c>
      <c r="K321">
        <v>0.06328729780900841</v>
      </c>
      <c r="L321">
        <v>1.07609942451429</v>
      </c>
      <c r="M321">
        <v>46.5</v>
      </c>
      <c r="N321">
        <v>30.26</v>
      </c>
    </row>
    <row r="322" spans="1:14">
      <c r="A322" s="1" t="s">
        <v>334</v>
      </c>
      <c r="B322">
        <f>HYPERLINK("https://www.suredividend.com/sure-analysis-research-database/","Columbus Mckinnon Corp.")</f>
        <v>0</v>
      </c>
      <c r="C322" t="s">
        <v>1924</v>
      </c>
      <c r="D322">
        <v>24.82</v>
      </c>
      <c r="E322">
        <v>0.010446735973903</v>
      </c>
      <c r="F322">
        <v>0.1666666666666667</v>
      </c>
      <c r="G322">
        <v>0.1184269147201447</v>
      </c>
      <c r="H322">
        <v>0.259287986872277</v>
      </c>
      <c r="I322">
        <v>710.528817</v>
      </c>
      <c r="J322">
        <v>15.68011688617204</v>
      </c>
      <c r="K322">
        <v>0.1651515839950809</v>
      </c>
      <c r="L322">
        <v>1.11981643213515</v>
      </c>
      <c r="M322">
        <v>53.91</v>
      </c>
      <c r="N322">
        <v>24.23</v>
      </c>
    </row>
    <row r="323" spans="1:14">
      <c r="A323" s="1" t="s">
        <v>335</v>
      </c>
      <c r="B323">
        <f>HYPERLINK("https://www.suredividend.com/sure-analysis-CMP/","Compass Minerals International Inc")</f>
        <v>0</v>
      </c>
      <c r="C323" t="s">
        <v>1925</v>
      </c>
      <c r="D323">
        <v>39.65</v>
      </c>
      <c r="E323">
        <v>0.01513240857503153</v>
      </c>
      <c r="F323">
        <v>-0.7916666666666666</v>
      </c>
      <c r="G323">
        <v>-0.2692787241890373</v>
      </c>
      <c r="H323">
        <v>0.596890385586055</v>
      </c>
      <c r="I323">
        <v>1354.481945</v>
      </c>
      <c r="J323">
        <v>21.84648298467742</v>
      </c>
      <c r="K323">
        <v>0.3261696096098661</v>
      </c>
      <c r="L323">
        <v>1.036567732031933</v>
      </c>
      <c r="M323">
        <v>74.48999999999999</v>
      </c>
      <c r="N323">
        <v>30.56</v>
      </c>
    </row>
    <row r="324" spans="1:14">
      <c r="A324" s="1" t="s">
        <v>336</v>
      </c>
      <c r="B324">
        <f>HYPERLINK("https://www.suredividend.com/sure-analysis-research-database/","Cimpress plc")</f>
        <v>0</v>
      </c>
      <c r="C324" t="s">
        <v>1931</v>
      </c>
      <c r="D324">
        <v>25.09</v>
      </c>
      <c r="E324">
        <v>0</v>
      </c>
      <c r="H324">
        <v>0</v>
      </c>
      <c r="I324">
        <v>657.97401</v>
      </c>
      <c r="J324" t="s">
        <v>1921</v>
      </c>
      <c r="K324">
        <v>-0</v>
      </c>
      <c r="L324">
        <v>1.472959561344921</v>
      </c>
      <c r="M324">
        <v>97.91</v>
      </c>
      <c r="N324">
        <v>23.24</v>
      </c>
    </row>
    <row r="325" spans="1:14">
      <c r="A325" s="1" t="s">
        <v>337</v>
      </c>
      <c r="B325">
        <f>HYPERLINK("https://www.suredividend.com/sure-analysis-research-database/","Costamare Inc")</f>
        <v>0</v>
      </c>
      <c r="C325" t="s">
        <v>1924</v>
      </c>
      <c r="D325">
        <v>8.800000000000001</v>
      </c>
      <c r="E325">
        <v>0.051589968432479</v>
      </c>
      <c r="F325">
        <v>0</v>
      </c>
      <c r="G325">
        <v>0.02834672210021361</v>
      </c>
      <c r="H325">
        <v>0.45399172220582</v>
      </c>
      <c r="I325">
        <v>1069.853057</v>
      </c>
      <c r="J325">
        <v>2.331093556800429</v>
      </c>
      <c r="K325">
        <v>0.1220407855391989</v>
      </c>
      <c r="L325">
        <v>0.8704422495755401</v>
      </c>
      <c r="M325">
        <v>17.71</v>
      </c>
      <c r="N325">
        <v>8.720000000000001</v>
      </c>
    </row>
    <row r="326" spans="1:14">
      <c r="A326" s="1" t="s">
        <v>338</v>
      </c>
      <c r="B326">
        <f>HYPERLINK("https://www.suredividend.com/sure-analysis-research-database/","Chimerix Inc")</f>
        <v>0</v>
      </c>
      <c r="C326" t="s">
        <v>1922</v>
      </c>
      <c r="D326">
        <v>1.79</v>
      </c>
      <c r="E326">
        <v>0</v>
      </c>
      <c r="H326">
        <v>0</v>
      </c>
      <c r="I326">
        <v>156.844907</v>
      </c>
      <c r="J326" t="s">
        <v>1921</v>
      </c>
      <c r="K326">
        <v>-0</v>
      </c>
      <c r="L326">
        <v>1.69057816349491</v>
      </c>
      <c r="M326">
        <v>7.42</v>
      </c>
      <c r="N326">
        <v>1.27</v>
      </c>
    </row>
    <row r="327" spans="1:14">
      <c r="A327" s="1" t="s">
        <v>339</v>
      </c>
      <c r="B327">
        <f>HYPERLINK("https://www.suredividend.com/sure-analysis-research-database/","Comtech Telecommunications Corp.")</f>
        <v>0</v>
      </c>
      <c r="C327" t="s">
        <v>1920</v>
      </c>
      <c r="D327">
        <v>9.94</v>
      </c>
      <c r="E327">
        <v>0.039782135175947</v>
      </c>
      <c r="F327">
        <v>0</v>
      </c>
      <c r="G327">
        <v>0</v>
      </c>
      <c r="H327">
        <v>0.395434423648913</v>
      </c>
      <c r="I327">
        <v>273.452481</v>
      </c>
      <c r="J327" t="s">
        <v>1921</v>
      </c>
      <c r="K327" t="s">
        <v>1921</v>
      </c>
      <c r="L327">
        <v>1.126510448696273</v>
      </c>
      <c r="M327">
        <v>27.22</v>
      </c>
      <c r="N327">
        <v>8.33</v>
      </c>
    </row>
    <row r="328" spans="1:14">
      <c r="A328" s="1" t="s">
        <v>340</v>
      </c>
      <c r="B328">
        <f>HYPERLINK("https://www.suredividend.com/sure-analysis-research-database/","Conduent Inc")</f>
        <v>0</v>
      </c>
      <c r="C328" t="s">
        <v>1920</v>
      </c>
      <c r="D328">
        <v>3.4</v>
      </c>
      <c r="E328">
        <v>0</v>
      </c>
      <c r="H328">
        <v>0</v>
      </c>
      <c r="I328">
        <v>733.704057</v>
      </c>
      <c r="J328">
        <v>7.563959354639175</v>
      </c>
      <c r="K328">
        <v>0</v>
      </c>
      <c r="L328">
        <v>0.9321348111402201</v>
      </c>
      <c r="M328">
        <v>7.21</v>
      </c>
      <c r="N328">
        <v>3.31</v>
      </c>
    </row>
    <row r="329" spans="1:14">
      <c r="A329" s="1" t="s">
        <v>341</v>
      </c>
      <c r="B329">
        <f>HYPERLINK("https://www.suredividend.com/sure-analysis-research-database/","Cinemark Holdings Inc")</f>
        <v>0</v>
      </c>
      <c r="C329" t="s">
        <v>1931</v>
      </c>
      <c r="D329">
        <v>11.18</v>
      </c>
      <c r="E329">
        <v>0</v>
      </c>
      <c r="H329">
        <v>0</v>
      </c>
      <c r="I329">
        <v>1347.853667</v>
      </c>
      <c r="J329" t="s">
        <v>1921</v>
      </c>
      <c r="K329">
        <v>-0</v>
      </c>
      <c r="L329">
        <v>1.289662628962177</v>
      </c>
      <c r="M329">
        <v>23.15</v>
      </c>
      <c r="N329">
        <v>10.84</v>
      </c>
    </row>
    <row r="330" spans="1:14">
      <c r="A330" s="1" t="s">
        <v>342</v>
      </c>
      <c r="B330">
        <f>HYPERLINK("https://www.suredividend.com/sure-analysis-research-database/","Conmed Corp.")</f>
        <v>0</v>
      </c>
      <c r="C330" t="s">
        <v>1922</v>
      </c>
      <c r="D330">
        <v>76.26000000000001</v>
      </c>
      <c r="E330">
        <v>0.010459137096197</v>
      </c>
      <c r="F330">
        <v>0</v>
      </c>
      <c r="G330">
        <v>0</v>
      </c>
      <c r="H330">
        <v>0.797613794955995</v>
      </c>
      <c r="I330">
        <v>2323.357064</v>
      </c>
      <c r="J330" t="s">
        <v>1921</v>
      </c>
      <c r="K330" t="s">
        <v>1921</v>
      </c>
      <c r="L330">
        <v>1.158451950353769</v>
      </c>
      <c r="M330">
        <v>157.98</v>
      </c>
      <c r="N330">
        <v>75.41</v>
      </c>
    </row>
    <row r="331" spans="1:14">
      <c r="A331" s="1" t="s">
        <v>343</v>
      </c>
      <c r="B331">
        <f>HYPERLINK("https://www.suredividend.com/sure-analysis-research-database/","Cannae Holdings Inc")</f>
        <v>0</v>
      </c>
      <c r="C331" t="s">
        <v>1927</v>
      </c>
      <c r="D331">
        <v>20.98</v>
      </c>
      <c r="E331">
        <v>0</v>
      </c>
      <c r="H331">
        <v>0</v>
      </c>
      <c r="I331">
        <v>1681.346347</v>
      </c>
      <c r="J331">
        <v>0</v>
      </c>
      <c r="K331" t="s">
        <v>1921</v>
      </c>
      <c r="L331">
        <v>1.381612696128262</v>
      </c>
      <c r="M331">
        <v>36.5</v>
      </c>
      <c r="N331">
        <v>17.11</v>
      </c>
    </row>
    <row r="332" spans="1:14">
      <c r="A332" s="1" t="s">
        <v>344</v>
      </c>
      <c r="B332">
        <f>HYPERLINK("https://www.suredividend.com/sure-analysis-research-database/","CNO Financial Group Inc")</f>
        <v>0</v>
      </c>
      <c r="C332" t="s">
        <v>1923</v>
      </c>
      <c r="D332">
        <v>18.86</v>
      </c>
      <c r="E332">
        <v>0.028335092446716</v>
      </c>
      <c r="F332">
        <v>0.07692307692307709</v>
      </c>
      <c r="G332">
        <v>0.09238846414037316</v>
      </c>
      <c r="H332">
        <v>0.5343998435450681</v>
      </c>
      <c r="I332">
        <v>2157.540169</v>
      </c>
      <c r="J332">
        <v>4.649871054655172</v>
      </c>
      <c r="K332">
        <v>0.1417506216299915</v>
      </c>
      <c r="L332">
        <v>0.8471465808852761</v>
      </c>
      <c r="M332">
        <v>26.2</v>
      </c>
      <c r="N332">
        <v>16.43</v>
      </c>
    </row>
    <row r="333" spans="1:14">
      <c r="A333" s="1" t="s">
        <v>345</v>
      </c>
      <c r="B333">
        <f>HYPERLINK("https://www.suredividend.com/sure-analysis-research-database/","ConnectOne Bancorp Inc.")</f>
        <v>0</v>
      </c>
      <c r="C333" t="s">
        <v>1923</v>
      </c>
      <c r="D333">
        <v>22.79</v>
      </c>
      <c r="E333">
        <v>0.024822280028401</v>
      </c>
      <c r="F333">
        <v>0.4090909090909092</v>
      </c>
      <c r="G333">
        <v>0.1562562331664044</v>
      </c>
      <c r="H333">
        <v>0.565699761847261</v>
      </c>
      <c r="I333">
        <v>894.350773</v>
      </c>
      <c r="J333">
        <v>7.215823186222699</v>
      </c>
      <c r="K333">
        <v>0.1807347481940131</v>
      </c>
      <c r="L333">
        <v>0.6363256746372751</v>
      </c>
      <c r="M333">
        <v>36.44</v>
      </c>
      <c r="N333">
        <v>22.66</v>
      </c>
    </row>
    <row r="334" spans="1:14">
      <c r="A334" s="1" t="s">
        <v>346</v>
      </c>
      <c r="B334">
        <f>HYPERLINK("https://www.suredividend.com/sure-analysis-research-database/","Cornerstone Building Brands Inc")</f>
        <v>0</v>
      </c>
      <c r="C334" t="s">
        <v>1924</v>
      </c>
      <c r="D334">
        <v>24.66</v>
      </c>
      <c r="E334">
        <v>0</v>
      </c>
      <c r="H334">
        <v>0</v>
      </c>
      <c r="I334">
        <v>3140.549665</v>
      </c>
      <c r="J334">
        <v>4.125652290268975</v>
      </c>
      <c r="K334">
        <v>0</v>
      </c>
      <c r="L334">
        <v>0.379026239325039</v>
      </c>
      <c r="M334">
        <v>24.66</v>
      </c>
      <c r="N334">
        <v>13.51</v>
      </c>
    </row>
    <row r="335" spans="1:14">
      <c r="A335" s="1" t="s">
        <v>347</v>
      </c>
      <c r="B335">
        <f>HYPERLINK("https://www.suredividend.com/sure-analysis-research-database/","Cohen &amp; Steers Inc.")</f>
        <v>0</v>
      </c>
      <c r="C335" t="s">
        <v>1923</v>
      </c>
      <c r="D335">
        <v>60.12</v>
      </c>
      <c r="E335">
        <v>0.034567793035199</v>
      </c>
      <c r="F335">
        <v>-0.5599999999999999</v>
      </c>
      <c r="G335">
        <v>-0.2612720412113078</v>
      </c>
      <c r="H335">
        <v>2.078215717276172</v>
      </c>
      <c r="I335">
        <v>2927.02252</v>
      </c>
      <c r="J335">
        <v>13.9422523700694</v>
      </c>
      <c r="K335">
        <v>0.4878440650883033</v>
      </c>
      <c r="L335">
        <v>1.037565544921106</v>
      </c>
      <c r="M335">
        <v>98.59</v>
      </c>
      <c r="N335">
        <v>59.97</v>
      </c>
    </row>
    <row r="336" spans="1:14">
      <c r="A336" s="1" t="s">
        <v>348</v>
      </c>
      <c r="B336">
        <f>HYPERLINK("https://www.suredividend.com/sure-analysis-research-database/","Consolidated Communications Holdings Inc")</f>
        <v>0</v>
      </c>
      <c r="C336" t="s">
        <v>1931</v>
      </c>
      <c r="D336">
        <v>4.39</v>
      </c>
      <c r="E336">
        <v>0</v>
      </c>
      <c r="H336">
        <v>0</v>
      </c>
      <c r="I336">
        <v>506.586983</v>
      </c>
      <c r="J336" t="s">
        <v>1921</v>
      </c>
      <c r="K336">
        <v>-0</v>
      </c>
      <c r="L336">
        <v>1.06196276924285</v>
      </c>
      <c r="M336">
        <v>9.66</v>
      </c>
      <c r="N336">
        <v>4.1</v>
      </c>
    </row>
    <row r="337" spans="1:14">
      <c r="A337" s="1" t="s">
        <v>349</v>
      </c>
      <c r="B337">
        <f>HYPERLINK("https://www.suredividend.com/sure-analysis-research-database/","Century Casinos Inc.")</f>
        <v>0</v>
      </c>
      <c r="C337" t="s">
        <v>1927</v>
      </c>
      <c r="D337">
        <v>6.38</v>
      </c>
      <c r="E337">
        <v>0</v>
      </c>
      <c r="H337">
        <v>0</v>
      </c>
      <c r="I337">
        <v>190.53262</v>
      </c>
      <c r="J337">
        <v>7.853776581203626</v>
      </c>
      <c r="K337">
        <v>0</v>
      </c>
      <c r="L337">
        <v>1.512605767613126</v>
      </c>
      <c r="M337">
        <v>16.44</v>
      </c>
      <c r="N337">
        <v>6.1</v>
      </c>
    </row>
    <row r="338" spans="1:14">
      <c r="A338" s="1" t="s">
        <v>350</v>
      </c>
      <c r="B338">
        <f>HYPERLINK("https://www.suredividend.com/sure-analysis-research-database/","Convey Health Solutions Holdings Inc")</f>
        <v>0</v>
      </c>
      <c r="C338" t="s">
        <v>1921</v>
      </c>
      <c r="D338">
        <v>10.51</v>
      </c>
      <c r="E338">
        <v>0</v>
      </c>
      <c r="H338">
        <v>0</v>
      </c>
      <c r="I338">
        <v>769.2707370000001</v>
      </c>
      <c r="J338">
        <v>0</v>
      </c>
      <c r="K338" t="s">
        <v>1921</v>
      </c>
      <c r="L338">
        <v>1.546297057876688</v>
      </c>
      <c r="M338">
        <v>10.73</v>
      </c>
      <c r="N338">
        <v>3.75</v>
      </c>
    </row>
    <row r="339" spans="1:14">
      <c r="A339" s="1" t="s">
        <v>351</v>
      </c>
      <c r="B339">
        <f>HYPERLINK("https://www.suredividend.com/sure-analysis-research-database/","CNX Resources Corp")</f>
        <v>0</v>
      </c>
      <c r="C339" t="s">
        <v>1926</v>
      </c>
      <c r="D339">
        <v>17.08</v>
      </c>
      <c r="E339">
        <v>0</v>
      </c>
      <c r="H339">
        <v>0</v>
      </c>
      <c r="I339">
        <v>3235.841424</v>
      </c>
      <c r="J339" t="s">
        <v>1921</v>
      </c>
      <c r="K339">
        <v>-0</v>
      </c>
      <c r="L339">
        <v>0.7985147287725151</v>
      </c>
      <c r="M339">
        <v>24.21</v>
      </c>
      <c r="N339">
        <v>12.97</v>
      </c>
    </row>
    <row r="340" spans="1:14">
      <c r="A340" s="1" t="s">
        <v>352</v>
      </c>
      <c r="B340">
        <f>HYPERLINK("https://www.suredividend.com/sure-analysis-research-database/","PC Connection, Inc.")</f>
        <v>0</v>
      </c>
      <c r="C340" t="s">
        <v>1920</v>
      </c>
      <c r="D340">
        <v>45.45</v>
      </c>
      <c r="E340">
        <v>0</v>
      </c>
      <c r="H340">
        <v>0</v>
      </c>
      <c r="I340">
        <v>1194.135211</v>
      </c>
      <c r="J340">
        <v>13.3244277047534</v>
      </c>
      <c r="K340">
        <v>0</v>
      </c>
      <c r="L340">
        <v>0.6866036060858111</v>
      </c>
      <c r="M340">
        <v>54.79</v>
      </c>
      <c r="N340">
        <v>40.08</v>
      </c>
    </row>
    <row r="341" spans="1:14">
      <c r="A341" s="1" t="s">
        <v>353</v>
      </c>
      <c r="B341">
        <f>HYPERLINK("https://www.suredividend.com/sure-analysis-research-database/","Vita Coco Company Inc (The)")</f>
        <v>0</v>
      </c>
      <c r="C341" t="s">
        <v>1921</v>
      </c>
      <c r="D341">
        <v>12.12</v>
      </c>
      <c r="E341">
        <v>0</v>
      </c>
      <c r="H341">
        <v>0</v>
      </c>
      <c r="I341">
        <v>674.527062</v>
      </c>
      <c r="J341">
        <v>0</v>
      </c>
      <c r="K341" t="s">
        <v>1921</v>
      </c>
      <c r="M341">
        <v>18.61</v>
      </c>
      <c r="N341">
        <v>7.51</v>
      </c>
    </row>
    <row r="342" spans="1:14">
      <c r="A342" s="1" t="s">
        <v>354</v>
      </c>
      <c r="B342">
        <f>HYPERLINK("https://www.suredividend.com/sure-analysis-research-database/","Cogent Biosciences Inc")</f>
        <v>0</v>
      </c>
      <c r="C342" t="s">
        <v>1921</v>
      </c>
      <c r="D342">
        <v>13.14</v>
      </c>
      <c r="E342">
        <v>0</v>
      </c>
      <c r="H342">
        <v>0</v>
      </c>
      <c r="I342">
        <v>864.063615</v>
      </c>
      <c r="J342">
        <v>0</v>
      </c>
      <c r="K342" t="s">
        <v>1921</v>
      </c>
      <c r="L342">
        <v>0.499045269025514</v>
      </c>
      <c r="M342">
        <v>18.07</v>
      </c>
      <c r="N342">
        <v>3.79</v>
      </c>
    </row>
    <row r="343" spans="1:14">
      <c r="A343" s="1" t="s">
        <v>355</v>
      </c>
      <c r="B343">
        <f>HYPERLINK("https://www.suredividend.com/sure-analysis-research-database/","Cohu, Inc.")</f>
        <v>0</v>
      </c>
      <c r="C343" t="s">
        <v>1920</v>
      </c>
      <c r="D343">
        <v>27.68</v>
      </c>
      <c r="E343">
        <v>0</v>
      </c>
      <c r="H343">
        <v>0</v>
      </c>
      <c r="I343">
        <v>1334.9292</v>
      </c>
      <c r="J343">
        <v>14.05795343758886</v>
      </c>
      <c r="K343">
        <v>0</v>
      </c>
      <c r="L343">
        <v>1.646930425220539</v>
      </c>
      <c r="M343">
        <v>39.86</v>
      </c>
      <c r="N343">
        <v>24.06</v>
      </c>
    </row>
    <row r="344" spans="1:14">
      <c r="A344" s="1" t="s">
        <v>356</v>
      </c>
      <c r="B344">
        <f>HYPERLINK("https://www.suredividend.com/sure-analysis-research-database/","Coca-Cola Consolidated Inc")</f>
        <v>0</v>
      </c>
      <c r="C344" t="s">
        <v>1928</v>
      </c>
      <c r="D344">
        <v>448.19</v>
      </c>
      <c r="E344">
        <v>0.002229544819695</v>
      </c>
      <c r="F344">
        <v>0</v>
      </c>
      <c r="G344">
        <v>0</v>
      </c>
      <c r="H344">
        <v>0.999259692739307</v>
      </c>
      <c r="I344">
        <v>3750.898973</v>
      </c>
      <c r="J344">
        <v>13.34891747602219</v>
      </c>
      <c r="K344">
        <v>0.03340888307386516</v>
      </c>
      <c r="L344">
        <v>0.9046512812995811</v>
      </c>
      <c r="M344">
        <v>655.79</v>
      </c>
      <c r="N344">
        <v>389.2</v>
      </c>
    </row>
    <row r="345" spans="1:14">
      <c r="A345" s="1" t="s">
        <v>357</v>
      </c>
      <c r="B345">
        <f>HYPERLINK("https://www.suredividend.com/sure-analysis-research-database/","Columbia Banking System, Inc.")</f>
        <v>0</v>
      </c>
      <c r="C345" t="s">
        <v>1923</v>
      </c>
      <c r="D345">
        <v>29.25</v>
      </c>
      <c r="E345">
        <v>0.040424105816359</v>
      </c>
      <c r="F345">
        <v>0.0714285714285714</v>
      </c>
      <c r="G345">
        <v>0.1646586157796568</v>
      </c>
      <c r="H345">
        <v>1.182405095128504</v>
      </c>
      <c r="I345">
        <v>2300.496647</v>
      </c>
      <c r="J345">
        <v>10.84592515334242</v>
      </c>
      <c r="K345">
        <v>0.4253255737872316</v>
      </c>
      <c r="L345">
        <v>0.842103531222236</v>
      </c>
      <c r="M345">
        <v>36.83</v>
      </c>
      <c r="N345">
        <v>26.7</v>
      </c>
    </row>
    <row r="346" spans="1:14">
      <c r="A346" s="1" t="s">
        <v>358</v>
      </c>
      <c r="B346">
        <f>HYPERLINK("https://www.suredividend.com/sure-analysis-research-database/","Collegium Pharmaceutical Inc")</f>
        <v>0</v>
      </c>
      <c r="C346" t="s">
        <v>1922</v>
      </c>
      <c r="D346">
        <v>16.74</v>
      </c>
      <c r="E346">
        <v>0</v>
      </c>
      <c r="H346">
        <v>0</v>
      </c>
      <c r="I346">
        <v>571.2726719999999</v>
      </c>
      <c r="J346" t="s">
        <v>1921</v>
      </c>
      <c r="K346">
        <v>-0</v>
      </c>
      <c r="L346">
        <v>0.5624458426961101</v>
      </c>
      <c r="M346">
        <v>22.89</v>
      </c>
      <c r="N346">
        <v>14.04</v>
      </c>
    </row>
    <row r="347" spans="1:14">
      <c r="A347" s="1" t="s">
        <v>359</v>
      </c>
      <c r="B347">
        <f>HYPERLINK("https://www.suredividend.com/sure-analysis-research-database/","Conns Inc")</f>
        <v>0</v>
      </c>
      <c r="C347" t="s">
        <v>1927</v>
      </c>
      <c r="D347">
        <v>7.39</v>
      </c>
      <c r="E347">
        <v>0</v>
      </c>
      <c r="H347">
        <v>0</v>
      </c>
      <c r="I347">
        <v>176.642342</v>
      </c>
      <c r="J347">
        <v>5.172088610663778</v>
      </c>
      <c r="K347">
        <v>0</v>
      </c>
      <c r="L347">
        <v>1.754007036937999</v>
      </c>
      <c r="M347">
        <v>26.92</v>
      </c>
      <c r="N347">
        <v>6.93</v>
      </c>
    </row>
    <row r="348" spans="1:14">
      <c r="A348" s="1" t="s">
        <v>360</v>
      </c>
      <c r="B348">
        <f>HYPERLINK("https://www.suredividend.com/sure-analysis-research-database/","Traeger Inc")</f>
        <v>0</v>
      </c>
      <c r="C348" t="s">
        <v>1921</v>
      </c>
      <c r="D348">
        <v>3.07</v>
      </c>
      <c r="E348">
        <v>0</v>
      </c>
      <c r="H348">
        <v>0</v>
      </c>
      <c r="I348">
        <v>362.987255</v>
      </c>
      <c r="J348">
        <v>0</v>
      </c>
      <c r="K348" t="s">
        <v>1921</v>
      </c>
      <c r="L348">
        <v>1.793115304776447</v>
      </c>
      <c r="M348">
        <v>22.31</v>
      </c>
      <c r="N348">
        <v>2.52</v>
      </c>
    </row>
    <row r="349" spans="1:14">
      <c r="A349" s="1" t="s">
        <v>361</v>
      </c>
      <c r="B349">
        <f>HYPERLINK("https://www.suredividend.com/sure-analysis-research-database/","Mr. Cooper Group Inc")</f>
        <v>0</v>
      </c>
      <c r="C349" t="s">
        <v>1923</v>
      </c>
      <c r="D349">
        <v>42.75</v>
      </c>
      <c r="E349">
        <v>0</v>
      </c>
      <c r="H349">
        <v>0</v>
      </c>
      <c r="I349">
        <v>3063.050282</v>
      </c>
      <c r="J349">
        <v>0</v>
      </c>
      <c r="K349" t="s">
        <v>1921</v>
      </c>
      <c r="L349">
        <v>0.8671935074319811</v>
      </c>
      <c r="M349">
        <v>52.34</v>
      </c>
      <c r="N349">
        <v>35.81</v>
      </c>
    </row>
    <row r="350" spans="1:14">
      <c r="A350" s="1" t="s">
        <v>362</v>
      </c>
      <c r="B350">
        <f>HYPERLINK("https://www.suredividend.com/sure-analysis-research-database/","Corcept Therapeutics Inc")</f>
        <v>0</v>
      </c>
      <c r="C350" t="s">
        <v>1922</v>
      </c>
      <c r="D350">
        <v>26.07</v>
      </c>
      <c r="E350">
        <v>0</v>
      </c>
      <c r="H350">
        <v>0</v>
      </c>
      <c r="I350">
        <v>2792.229383</v>
      </c>
      <c r="J350">
        <v>24.76851838822705</v>
      </c>
      <c r="K350">
        <v>0</v>
      </c>
      <c r="L350">
        <v>0.791360280248757</v>
      </c>
      <c r="M350">
        <v>29.93</v>
      </c>
      <c r="N350">
        <v>15.83</v>
      </c>
    </row>
    <row r="351" spans="1:14">
      <c r="A351" s="1" t="s">
        <v>363</v>
      </c>
      <c r="B351">
        <f>HYPERLINK("https://www.suredividend.com/sure-analysis-research-database/","Coursera Inc")</f>
        <v>0</v>
      </c>
      <c r="C351" t="s">
        <v>1921</v>
      </c>
      <c r="D351">
        <v>11.36</v>
      </c>
      <c r="E351">
        <v>0</v>
      </c>
      <c r="H351">
        <v>0</v>
      </c>
      <c r="I351">
        <v>1655.870418</v>
      </c>
      <c r="J351">
        <v>0</v>
      </c>
      <c r="K351" t="s">
        <v>1921</v>
      </c>
      <c r="L351">
        <v>1.571378530923124</v>
      </c>
      <c r="M351">
        <v>37.75</v>
      </c>
      <c r="N351">
        <v>9.81</v>
      </c>
    </row>
    <row r="352" spans="1:14">
      <c r="A352" s="1" t="s">
        <v>364</v>
      </c>
      <c r="B352">
        <f>HYPERLINK("https://www.suredividend.com/sure-analysis-research-database/","Cowen Inc")</f>
        <v>0</v>
      </c>
      <c r="C352" t="s">
        <v>1923</v>
      </c>
      <c r="D352">
        <v>38.6</v>
      </c>
      <c r="E352">
        <v>0.011879486148</v>
      </c>
      <c r="H352">
        <v>0.4585481653128141</v>
      </c>
      <c r="I352">
        <v>1067.563211</v>
      </c>
      <c r="J352">
        <v>7.353832451384919</v>
      </c>
      <c r="K352">
        <v>0.09882503562776165</v>
      </c>
      <c r="L352">
        <v>0.9471714410436261</v>
      </c>
      <c r="M352">
        <v>39.54</v>
      </c>
      <c r="N352">
        <v>21.29</v>
      </c>
    </row>
    <row r="353" spans="1:14">
      <c r="A353" s="1" t="s">
        <v>365</v>
      </c>
      <c r="B353">
        <f>HYPERLINK("https://www.suredividend.com/sure-analysis-research-database/","Callon Petroleum Co.")</f>
        <v>0</v>
      </c>
      <c r="C353" t="s">
        <v>1926</v>
      </c>
      <c r="D353">
        <v>43.21</v>
      </c>
      <c r="E353">
        <v>0</v>
      </c>
      <c r="H353">
        <v>0</v>
      </c>
      <c r="I353">
        <v>2665.614184</v>
      </c>
      <c r="J353">
        <v>3.154576731948795</v>
      </c>
      <c r="K353">
        <v>0</v>
      </c>
      <c r="L353">
        <v>1.38189293583186</v>
      </c>
      <c r="M353">
        <v>66.48</v>
      </c>
      <c r="N353">
        <v>31.23</v>
      </c>
    </row>
    <row r="354" spans="1:14">
      <c r="A354" s="1" t="s">
        <v>366</v>
      </c>
      <c r="B354">
        <f>HYPERLINK("https://www.suredividend.com/sure-analysis-research-database/","Central Pacific Financial Corp.")</f>
        <v>0</v>
      </c>
      <c r="C354" t="s">
        <v>1923</v>
      </c>
      <c r="D354">
        <v>21.17</v>
      </c>
      <c r="E354">
        <v>0.047868347976285</v>
      </c>
      <c r="F354">
        <v>0.08333333333333348</v>
      </c>
      <c r="G354">
        <v>0.07631692251481081</v>
      </c>
      <c r="H354">
        <v>1.013372926657967</v>
      </c>
      <c r="I354">
        <v>579.688838</v>
      </c>
      <c r="J354">
        <v>7.230384383216505</v>
      </c>
      <c r="K354">
        <v>0.3530916120759467</v>
      </c>
      <c r="L354">
        <v>0.729508754777029</v>
      </c>
      <c r="M354">
        <v>30</v>
      </c>
      <c r="N354">
        <v>20.19</v>
      </c>
    </row>
    <row r="355" spans="1:14">
      <c r="A355" s="1" t="s">
        <v>367</v>
      </c>
      <c r="B355">
        <f>HYPERLINK("https://www.suredividend.com/sure-analysis-CPK/","Chesapeake Utilities Corp")</f>
        <v>0</v>
      </c>
      <c r="C355" t="s">
        <v>1930</v>
      </c>
      <c r="D355">
        <v>114.12</v>
      </c>
      <c r="E355">
        <v>0.0187521906764809</v>
      </c>
      <c r="F355">
        <v>0.1145833333333335</v>
      </c>
      <c r="G355">
        <v>0.1048265042492955</v>
      </c>
      <c r="H355">
        <v>2.017932222882795</v>
      </c>
      <c r="I355">
        <v>2024.245839</v>
      </c>
      <c r="J355">
        <v>22.70071927554923</v>
      </c>
      <c r="K355">
        <v>0.4011793683663608</v>
      </c>
      <c r="L355">
        <v>0.378585897843479</v>
      </c>
      <c r="M355">
        <v>144.56</v>
      </c>
      <c r="N355">
        <v>111.57</v>
      </c>
    </row>
    <row r="356" spans="1:14">
      <c r="A356" s="1" t="s">
        <v>368</v>
      </c>
      <c r="B356">
        <f>HYPERLINK("https://www.suredividend.com/sure-analysis-research-database/","Catalyst Pharmaceuticals Inc")</f>
        <v>0</v>
      </c>
      <c r="C356" t="s">
        <v>1922</v>
      </c>
      <c r="D356">
        <v>12.29</v>
      </c>
      <c r="E356">
        <v>0</v>
      </c>
      <c r="H356">
        <v>0</v>
      </c>
      <c r="I356">
        <v>1263.651704</v>
      </c>
      <c r="J356">
        <v>0</v>
      </c>
      <c r="K356" t="s">
        <v>1921</v>
      </c>
      <c r="L356">
        <v>1.049853993980906</v>
      </c>
      <c r="M356">
        <v>17.22</v>
      </c>
      <c r="N356">
        <v>5.24</v>
      </c>
    </row>
    <row r="357" spans="1:14">
      <c r="A357" s="1" t="s">
        <v>369</v>
      </c>
      <c r="B357">
        <f>HYPERLINK("https://www.suredividend.com/sure-analysis-research-database/","Cooper-Standard Holdings Inc")</f>
        <v>0</v>
      </c>
      <c r="C357" t="s">
        <v>1927</v>
      </c>
      <c r="D357">
        <v>6.32</v>
      </c>
      <c r="E357">
        <v>0</v>
      </c>
      <c r="H357">
        <v>0</v>
      </c>
      <c r="I357">
        <v>108.111045</v>
      </c>
      <c r="J357">
        <v>0</v>
      </c>
      <c r="K357" t="s">
        <v>1921</v>
      </c>
      <c r="L357">
        <v>2.03261978574139</v>
      </c>
      <c r="M357">
        <v>28.06</v>
      </c>
      <c r="N357">
        <v>3.53</v>
      </c>
    </row>
    <row r="358" spans="1:14">
      <c r="A358" s="1" t="s">
        <v>370</v>
      </c>
      <c r="B358">
        <f>HYPERLINK("https://www.suredividend.com/sure-analysis-research-database/","Computer Programs &amp; Systems Inc")</f>
        <v>0</v>
      </c>
      <c r="C358" t="s">
        <v>1922</v>
      </c>
      <c r="D358">
        <v>27.89</v>
      </c>
      <c r="E358">
        <v>0</v>
      </c>
      <c r="H358">
        <v>0</v>
      </c>
      <c r="I358">
        <v>409.745182</v>
      </c>
      <c r="J358">
        <v>21.6418518972165</v>
      </c>
      <c r="K358">
        <v>0</v>
      </c>
      <c r="L358">
        <v>0.5691714627011401</v>
      </c>
      <c r="M358">
        <v>37.62</v>
      </c>
      <c r="N358">
        <v>26.11</v>
      </c>
    </row>
    <row r="359" spans="1:14">
      <c r="A359" s="1" t="s">
        <v>371</v>
      </c>
      <c r="B359">
        <f>HYPERLINK("https://www.suredividend.com/sure-analysis-research-database/","CRA International Inc.")</f>
        <v>0</v>
      </c>
      <c r="C359" t="s">
        <v>1924</v>
      </c>
      <c r="D359">
        <v>92.67</v>
      </c>
      <c r="E359">
        <v>0.013310401212637</v>
      </c>
      <c r="F359">
        <v>0.1923076923076923</v>
      </c>
      <c r="G359">
        <v>0.1276713701237631</v>
      </c>
      <c r="H359">
        <v>1.233474880375107</v>
      </c>
      <c r="I359">
        <v>664.094256</v>
      </c>
      <c r="J359">
        <v>15.62317397346319</v>
      </c>
      <c r="K359">
        <v>0.2175440706128937</v>
      </c>
      <c r="L359">
        <v>0.7902413430988671</v>
      </c>
      <c r="M359">
        <v>115.09</v>
      </c>
      <c r="N359">
        <v>77.8</v>
      </c>
    </row>
    <row r="360" spans="1:14">
      <c r="A360" s="1" t="s">
        <v>372</v>
      </c>
      <c r="B360">
        <f>HYPERLINK("https://www.suredividend.com/sure-analysis-research-database/","Caribou Biosciences Inc")</f>
        <v>0</v>
      </c>
      <c r="C360" t="s">
        <v>1921</v>
      </c>
      <c r="D360">
        <v>9.42</v>
      </c>
      <c r="E360">
        <v>0</v>
      </c>
      <c r="H360">
        <v>0</v>
      </c>
      <c r="I360">
        <v>573.120675</v>
      </c>
      <c r="J360">
        <v>0</v>
      </c>
      <c r="K360" t="s">
        <v>1921</v>
      </c>
      <c r="L360">
        <v>2.047982586508539</v>
      </c>
      <c r="M360">
        <v>24</v>
      </c>
      <c r="N360">
        <v>4.89</v>
      </c>
    </row>
    <row r="361" spans="1:14">
      <c r="A361" s="1" t="s">
        <v>373</v>
      </c>
      <c r="B361">
        <f>HYPERLINK("https://www.suredividend.com/sure-analysis-research-database/","California Resources Corporation")</f>
        <v>0</v>
      </c>
      <c r="C361" t="s">
        <v>1926</v>
      </c>
      <c r="D361">
        <v>41.85</v>
      </c>
      <c r="E361">
        <v>0.012158262997983</v>
      </c>
      <c r="H361">
        <v>0.508823306465591</v>
      </c>
      <c r="I361">
        <v>3154.470241</v>
      </c>
      <c r="J361">
        <v>0</v>
      </c>
      <c r="K361" t="s">
        <v>1921</v>
      </c>
      <c r="L361">
        <v>0.9347435694332651</v>
      </c>
      <c r="M361">
        <v>51.28</v>
      </c>
      <c r="N361">
        <v>35.83</v>
      </c>
    </row>
    <row r="362" spans="1:14">
      <c r="A362" s="1" t="s">
        <v>374</v>
      </c>
      <c r="B362">
        <f>HYPERLINK("https://www.suredividend.com/sure-analysis-research-database/","Crawford &amp; Co.")</f>
        <v>0</v>
      </c>
      <c r="C362" t="s">
        <v>1921</v>
      </c>
      <c r="D362">
        <v>7.6</v>
      </c>
      <c r="E362">
        <v>0</v>
      </c>
      <c r="H362">
        <v>0.237243744884735</v>
      </c>
      <c r="I362">
        <v>359.509599</v>
      </c>
      <c r="J362">
        <v>0</v>
      </c>
      <c r="K362" t="s">
        <v>1921</v>
      </c>
      <c r="L362">
        <v>0.428613883916256</v>
      </c>
    </row>
    <row r="363" spans="1:14">
      <c r="A363" s="1" t="s">
        <v>375</v>
      </c>
      <c r="B363">
        <f>HYPERLINK("https://www.suredividend.com/sure-analysis-research-database/","Cardiff Oncology Inc")</f>
        <v>0</v>
      </c>
      <c r="C363" t="s">
        <v>1921</v>
      </c>
      <c r="D363">
        <v>1.51</v>
      </c>
      <c r="E363">
        <v>0</v>
      </c>
      <c r="H363">
        <v>0</v>
      </c>
      <c r="I363">
        <v>65.392152</v>
      </c>
      <c r="J363">
        <v>0</v>
      </c>
      <c r="K363" t="s">
        <v>1921</v>
      </c>
      <c r="L363">
        <v>1.971822177780917</v>
      </c>
      <c r="M363">
        <v>7.32</v>
      </c>
      <c r="N363">
        <v>1.13</v>
      </c>
    </row>
    <row r="364" spans="1:14">
      <c r="A364" s="1" t="s">
        <v>376</v>
      </c>
      <c r="B364">
        <f>HYPERLINK("https://www.suredividend.com/sure-analysis-research-database/","Credo Technology Group Holding Ltd")</f>
        <v>0</v>
      </c>
      <c r="C364" t="s">
        <v>1921</v>
      </c>
      <c r="D364">
        <v>10.34</v>
      </c>
      <c r="E364">
        <v>0</v>
      </c>
      <c r="H364">
        <v>0</v>
      </c>
      <c r="I364">
        <v>1506.351983</v>
      </c>
      <c r="J364">
        <v>0</v>
      </c>
      <c r="K364" t="s">
        <v>1921</v>
      </c>
      <c r="M364">
        <v>18</v>
      </c>
      <c r="N364">
        <v>8.609999999999999</v>
      </c>
    </row>
    <row r="365" spans="1:14">
      <c r="A365" s="1" t="s">
        <v>377</v>
      </c>
      <c r="B365">
        <f>HYPERLINK("https://www.suredividend.com/sure-analysis-research-database/","Crescent Energy Company")</f>
        <v>0</v>
      </c>
      <c r="C365" t="s">
        <v>1921</v>
      </c>
      <c r="D365">
        <v>14.4</v>
      </c>
      <c r="E365">
        <v>0.031662748395157</v>
      </c>
      <c r="H365">
        <v>0.45594357689026</v>
      </c>
      <c r="I365">
        <v>604.2212500000001</v>
      </c>
      <c r="J365">
        <v>0</v>
      </c>
      <c r="K365" t="s">
        <v>1921</v>
      </c>
      <c r="M365">
        <v>19.26</v>
      </c>
      <c r="N365">
        <v>10.75</v>
      </c>
    </row>
    <row r="366" spans="1:14">
      <c r="A366" s="1" t="s">
        <v>378</v>
      </c>
      <c r="B366">
        <f>HYPERLINK("https://www.suredividend.com/sure-analysis-research-database/","Curis Inc")</f>
        <v>0</v>
      </c>
      <c r="C366" t="s">
        <v>1922</v>
      </c>
      <c r="D366">
        <v>0.7565000000000001</v>
      </c>
      <c r="E366">
        <v>0</v>
      </c>
      <c r="H366">
        <v>0</v>
      </c>
      <c r="I366">
        <v>69.329722</v>
      </c>
      <c r="J366" t="s">
        <v>1921</v>
      </c>
      <c r="K366">
        <v>-0</v>
      </c>
      <c r="L366">
        <v>1.085474021468159</v>
      </c>
      <c r="M366">
        <v>7.91</v>
      </c>
      <c r="N366">
        <v>0.68</v>
      </c>
    </row>
    <row r="367" spans="1:14">
      <c r="A367" s="1" t="s">
        <v>379</v>
      </c>
      <c r="B367">
        <f>HYPERLINK("https://www.suredividend.com/sure-analysis-research-database/","Comstock Resources, Inc.")</f>
        <v>0</v>
      </c>
      <c r="C367" t="s">
        <v>1926</v>
      </c>
      <c r="D367">
        <v>17.94</v>
      </c>
      <c r="E367">
        <v>0</v>
      </c>
      <c r="H367">
        <v>0</v>
      </c>
      <c r="I367">
        <v>4182.98132</v>
      </c>
      <c r="J367">
        <v>13.06928445088764</v>
      </c>
      <c r="K367">
        <v>0</v>
      </c>
      <c r="L367">
        <v>1.129304295523417</v>
      </c>
      <c r="M367">
        <v>22.11</v>
      </c>
      <c r="N367">
        <v>6.88</v>
      </c>
    </row>
    <row r="368" spans="1:14">
      <c r="A368" s="1" t="s">
        <v>380</v>
      </c>
      <c r="B368">
        <f>HYPERLINK("https://www.suredividend.com/sure-analysis-research-database/","CorMedix Inc")</f>
        <v>0</v>
      </c>
      <c r="C368" t="s">
        <v>1922</v>
      </c>
      <c r="D368">
        <v>2.82</v>
      </c>
      <c r="E368">
        <v>0</v>
      </c>
      <c r="H368">
        <v>0</v>
      </c>
      <c r="I368">
        <v>116.207152</v>
      </c>
      <c r="J368">
        <v>0</v>
      </c>
      <c r="K368" t="s">
        <v>1921</v>
      </c>
      <c r="L368">
        <v>1.185700835552617</v>
      </c>
      <c r="M368">
        <v>8.029999999999999</v>
      </c>
      <c r="N368">
        <v>2.65</v>
      </c>
    </row>
    <row r="369" spans="1:14">
      <c r="A369" s="1" t="s">
        <v>381</v>
      </c>
      <c r="B369">
        <f>HYPERLINK("https://www.suredividend.com/sure-analysis-research-database/","Americas Car Mart, Inc.")</f>
        <v>0</v>
      </c>
      <c r="C369" t="s">
        <v>1927</v>
      </c>
      <c r="D369">
        <v>59.71</v>
      </c>
      <c r="E369">
        <v>0</v>
      </c>
      <c r="H369">
        <v>0</v>
      </c>
      <c r="I369">
        <v>380.209695</v>
      </c>
      <c r="J369">
        <v>4.662746738490594</v>
      </c>
      <c r="K369">
        <v>0</v>
      </c>
      <c r="L369">
        <v>1.09120377367009</v>
      </c>
      <c r="M369">
        <v>129.5</v>
      </c>
      <c r="N369">
        <v>58.85</v>
      </c>
    </row>
    <row r="370" spans="1:14">
      <c r="A370" s="1" t="s">
        <v>382</v>
      </c>
      <c r="B370">
        <f>HYPERLINK("https://www.suredividend.com/sure-analysis-research-database/","Cerence Inc")</f>
        <v>0</v>
      </c>
      <c r="C370" t="s">
        <v>1920</v>
      </c>
      <c r="D370">
        <v>15.07</v>
      </c>
      <c r="E370">
        <v>0</v>
      </c>
      <c r="H370">
        <v>0</v>
      </c>
      <c r="I370">
        <v>593.506632</v>
      </c>
      <c r="J370" t="s">
        <v>1921</v>
      </c>
      <c r="K370">
        <v>-0</v>
      </c>
      <c r="L370">
        <v>1.594778606181726</v>
      </c>
      <c r="M370">
        <v>114.85</v>
      </c>
      <c r="N370">
        <v>14.76</v>
      </c>
    </row>
    <row r="371" spans="1:14">
      <c r="A371" s="1" t="s">
        <v>383</v>
      </c>
      <c r="B371">
        <f>HYPERLINK("https://www.suredividend.com/sure-analysis-research-database/","Crinetics Pharmaceuticals Inc")</f>
        <v>0</v>
      </c>
      <c r="C371" t="s">
        <v>1922</v>
      </c>
      <c r="D371">
        <v>16.89</v>
      </c>
      <c r="E371">
        <v>0</v>
      </c>
      <c r="H371">
        <v>0</v>
      </c>
      <c r="I371">
        <v>907.88442</v>
      </c>
      <c r="J371">
        <v>0</v>
      </c>
      <c r="K371" t="s">
        <v>1921</v>
      </c>
      <c r="L371">
        <v>1.23166288979227</v>
      </c>
      <c r="M371">
        <v>28.95</v>
      </c>
      <c r="N371">
        <v>15.91</v>
      </c>
    </row>
    <row r="372" spans="1:14">
      <c r="A372" s="1" t="s">
        <v>384</v>
      </c>
      <c r="B372">
        <f>HYPERLINK("https://www.suredividend.com/sure-analysis-research-database/","Crocs Inc")</f>
        <v>0</v>
      </c>
      <c r="C372" t="s">
        <v>1927</v>
      </c>
      <c r="D372">
        <v>73.67</v>
      </c>
      <c r="E372">
        <v>0</v>
      </c>
      <c r="H372">
        <v>0</v>
      </c>
      <c r="I372">
        <v>4541.784526</v>
      </c>
      <c r="J372">
        <v>8.388699516232405</v>
      </c>
      <c r="K372">
        <v>0</v>
      </c>
      <c r="L372">
        <v>2.093417965859898</v>
      </c>
      <c r="M372">
        <v>183.88</v>
      </c>
      <c r="N372">
        <v>46.08</v>
      </c>
    </row>
    <row r="373" spans="1:14">
      <c r="A373" s="1" t="s">
        <v>385</v>
      </c>
      <c r="B373">
        <f>HYPERLINK("https://www.suredividend.com/sure-analysis-research-database/","Carpenter Technology Corp.")</f>
        <v>0</v>
      </c>
      <c r="C373" t="s">
        <v>1924</v>
      </c>
      <c r="D373">
        <v>34.52</v>
      </c>
      <c r="E373">
        <v>0.022983654251614</v>
      </c>
      <c r="F373">
        <v>0</v>
      </c>
      <c r="G373">
        <v>0.02129568760013512</v>
      </c>
      <c r="H373">
        <v>0.7933957447657151</v>
      </c>
      <c r="I373">
        <v>1667.464816</v>
      </c>
      <c r="J373" t="s">
        <v>1921</v>
      </c>
      <c r="K373" t="s">
        <v>1921</v>
      </c>
      <c r="L373">
        <v>1.25484597047487</v>
      </c>
      <c r="M373">
        <v>44.49</v>
      </c>
      <c r="N373">
        <v>24.63</v>
      </c>
    </row>
    <row r="374" spans="1:14">
      <c r="A374" s="1" t="s">
        <v>386</v>
      </c>
      <c r="B374">
        <f>HYPERLINK("https://www.suredividend.com/sure-analysis-research-database/","Corsair Gaming Inc")</f>
        <v>0</v>
      </c>
      <c r="C374" t="s">
        <v>1921</v>
      </c>
      <c r="D374">
        <v>11.78</v>
      </c>
      <c r="E374">
        <v>0</v>
      </c>
      <c r="H374">
        <v>0</v>
      </c>
      <c r="I374">
        <v>1128.427463</v>
      </c>
      <c r="J374" t="s">
        <v>1921</v>
      </c>
      <c r="K374">
        <v>-0</v>
      </c>
      <c r="L374">
        <v>1.549363515079974</v>
      </c>
      <c r="M374">
        <v>27.11</v>
      </c>
      <c r="N374">
        <v>11.23</v>
      </c>
    </row>
    <row r="375" spans="1:14">
      <c r="A375" s="1" t="s">
        <v>387</v>
      </c>
      <c r="B375">
        <f>HYPERLINK("https://www.suredividend.com/sure-analysis-research-database/","Cortexyme Inc")</f>
        <v>0</v>
      </c>
      <c r="C375" t="s">
        <v>1922</v>
      </c>
      <c r="D375">
        <v>1.95</v>
      </c>
      <c r="E375">
        <v>0</v>
      </c>
      <c r="H375">
        <v>0</v>
      </c>
      <c r="I375">
        <v>58.794128</v>
      </c>
      <c r="J375">
        <v>0</v>
      </c>
      <c r="K375" t="s">
        <v>1921</v>
      </c>
      <c r="L375">
        <v>1.432245916811679</v>
      </c>
      <c r="M375">
        <v>121.98</v>
      </c>
      <c r="N375">
        <v>1.78</v>
      </c>
    </row>
    <row r="376" spans="1:14">
      <c r="A376" s="1" t="s">
        <v>388</v>
      </c>
      <c r="B376">
        <f>HYPERLINK("https://www.suredividend.com/sure-analysis-research-database/","Corvel Corp.")</f>
        <v>0</v>
      </c>
      <c r="C376" t="s">
        <v>1923</v>
      </c>
      <c r="D376">
        <v>142.84</v>
      </c>
      <c r="E376">
        <v>0</v>
      </c>
      <c r="H376">
        <v>0</v>
      </c>
      <c r="I376">
        <v>2506.487614</v>
      </c>
      <c r="J376">
        <v>37.82920724984153</v>
      </c>
      <c r="K376">
        <v>0</v>
      </c>
      <c r="L376">
        <v>0.775142796433086</v>
      </c>
      <c r="M376">
        <v>213.38</v>
      </c>
      <c r="N376">
        <v>129.19</v>
      </c>
    </row>
    <row r="377" spans="1:14">
      <c r="A377" s="1" t="s">
        <v>389</v>
      </c>
      <c r="B377">
        <f>HYPERLINK("https://www.suredividend.com/sure-analysis-research-database/","CSG Systems International Inc.")</f>
        <v>0</v>
      </c>
      <c r="C377" t="s">
        <v>1920</v>
      </c>
      <c r="D377">
        <v>56.29</v>
      </c>
      <c r="E377">
        <v>0.018437560313181</v>
      </c>
      <c r="F377">
        <v>0.06000000000000005</v>
      </c>
      <c r="G377">
        <v>0.04762370263962179</v>
      </c>
      <c r="H377">
        <v>1.037850270028974</v>
      </c>
      <c r="I377">
        <v>1805.942782</v>
      </c>
      <c r="J377">
        <v>40.30312620567297</v>
      </c>
      <c r="K377">
        <v>0.7360640212971447</v>
      </c>
      <c r="L377">
        <v>0.55683955848481</v>
      </c>
      <c r="M377">
        <v>66.27</v>
      </c>
      <c r="N377">
        <v>48.35</v>
      </c>
    </row>
    <row r="378" spans="1:14">
      <c r="A378" s="1" t="s">
        <v>390</v>
      </c>
      <c r="B378">
        <f>HYPERLINK("https://www.suredividend.com/sure-analysis-research-database/","Cardiovascular Systems Inc.")</f>
        <v>0</v>
      </c>
      <c r="C378" t="s">
        <v>1922</v>
      </c>
      <c r="D378">
        <v>12.74</v>
      </c>
      <c r="E378">
        <v>0</v>
      </c>
      <c r="H378">
        <v>0</v>
      </c>
      <c r="I378">
        <v>533.881574</v>
      </c>
      <c r="J378" t="s">
        <v>1921</v>
      </c>
      <c r="K378">
        <v>-0</v>
      </c>
      <c r="L378">
        <v>1.067172635563368</v>
      </c>
      <c r="M378">
        <v>36.97</v>
      </c>
      <c r="N378">
        <v>12.51</v>
      </c>
    </row>
    <row r="379" spans="1:14">
      <c r="A379" s="1" t="s">
        <v>391</v>
      </c>
      <c r="B379">
        <f>HYPERLINK("https://www.suredividend.com/sure-analysis-research-database/","Centerspace")</f>
        <v>0</v>
      </c>
      <c r="C379" t="s">
        <v>1921</v>
      </c>
      <c r="D379">
        <v>65.06</v>
      </c>
      <c r="E379">
        <v>0.044094922740177</v>
      </c>
      <c r="F379">
        <v>0.01388888888888884</v>
      </c>
      <c r="G379">
        <v>0.5982509233954636</v>
      </c>
      <c r="H379">
        <v>2.868815673475934</v>
      </c>
      <c r="I379">
        <v>1000.125286</v>
      </c>
      <c r="J379" t="s">
        <v>1921</v>
      </c>
      <c r="K379" t="s">
        <v>1921</v>
      </c>
      <c r="L379">
        <v>0.5657334296683231</v>
      </c>
      <c r="M379">
        <v>108.85</v>
      </c>
      <c r="N379">
        <v>64.20999999999999</v>
      </c>
    </row>
    <row r="380" spans="1:14">
      <c r="A380" s="1" t="s">
        <v>392</v>
      </c>
      <c r="B380">
        <f>HYPERLINK("https://www.suredividend.com/sure-analysis-research-database/","Chicken Soup for the Soul Entertainment Inc")</f>
        <v>0</v>
      </c>
      <c r="C380" t="s">
        <v>1931</v>
      </c>
      <c r="D380">
        <v>6.12</v>
      </c>
      <c r="E380">
        <v>0</v>
      </c>
      <c r="H380">
        <v>0</v>
      </c>
      <c r="I380">
        <v>80.482376</v>
      </c>
      <c r="J380">
        <v>0</v>
      </c>
      <c r="K380" t="s">
        <v>1921</v>
      </c>
      <c r="L380">
        <v>1.324205720454746</v>
      </c>
      <c r="M380">
        <v>23.7</v>
      </c>
      <c r="N380">
        <v>4.35</v>
      </c>
    </row>
    <row r="381" spans="1:14">
      <c r="A381" s="1" t="s">
        <v>393</v>
      </c>
      <c r="B381">
        <f>HYPERLINK("https://www.suredividend.com/sure-analysis-research-database/","Caesarstone Ltd")</f>
        <v>0</v>
      </c>
      <c r="C381" t="s">
        <v>1924</v>
      </c>
      <c r="D381">
        <v>9.48</v>
      </c>
      <c r="E381">
        <v>0.036669875291926</v>
      </c>
      <c r="H381">
        <v>0.347630417767465</v>
      </c>
      <c r="I381">
        <v>326.804704</v>
      </c>
      <c r="J381">
        <v>15.98379651765627</v>
      </c>
      <c r="K381">
        <v>0.5880081491330599</v>
      </c>
      <c r="L381">
        <v>0.589535985726634</v>
      </c>
      <c r="M381">
        <v>13.24</v>
      </c>
      <c r="N381">
        <v>8.01</v>
      </c>
    </row>
    <row r="382" spans="1:14">
      <c r="A382" s="1" t="s">
        <v>394</v>
      </c>
      <c r="B382">
        <f>HYPERLINK("https://www.suredividend.com/sure-analysis-research-database/","Castle Biosciences Inc")</f>
        <v>0</v>
      </c>
      <c r="C382" t="s">
        <v>1922</v>
      </c>
      <c r="D382">
        <v>24.09</v>
      </c>
      <c r="E382">
        <v>0</v>
      </c>
      <c r="H382">
        <v>0</v>
      </c>
      <c r="I382">
        <v>633.493959</v>
      </c>
      <c r="J382">
        <v>0</v>
      </c>
      <c r="K382" t="s">
        <v>1921</v>
      </c>
      <c r="L382">
        <v>1.880766400811623</v>
      </c>
      <c r="M382">
        <v>68.65000000000001</v>
      </c>
      <c r="N382">
        <v>15.58</v>
      </c>
    </row>
    <row r="383" spans="1:14">
      <c r="A383" s="1" t="s">
        <v>395</v>
      </c>
      <c r="B383">
        <f>HYPERLINK("https://www.suredividend.com/sure-analysis-research-database/","Constellium SE")</f>
        <v>0</v>
      </c>
      <c r="C383" t="s">
        <v>1925</v>
      </c>
      <c r="D383">
        <v>11.18</v>
      </c>
      <c r="E383">
        <v>0</v>
      </c>
      <c r="H383">
        <v>0</v>
      </c>
      <c r="I383">
        <v>1564.782673</v>
      </c>
      <c r="J383">
        <v>0</v>
      </c>
      <c r="K383" t="s">
        <v>1921</v>
      </c>
      <c r="L383">
        <v>1.186374218527245</v>
      </c>
      <c r="M383">
        <v>20.85</v>
      </c>
      <c r="N383">
        <v>9.82</v>
      </c>
    </row>
    <row r="384" spans="1:14">
      <c r="A384" s="1" t="s">
        <v>396</v>
      </c>
      <c r="B384">
        <f>HYPERLINK("https://www.suredividend.com/sure-analysis-research-database/","CapStar Financial Holdings Inc")</f>
        <v>0</v>
      </c>
      <c r="C384" t="s">
        <v>1923</v>
      </c>
      <c r="D384">
        <v>18.47</v>
      </c>
      <c r="E384">
        <v>0.017227902677518</v>
      </c>
      <c r="H384">
        <v>0.318199362453759</v>
      </c>
      <c r="I384">
        <v>407.560368</v>
      </c>
      <c r="J384">
        <v>8.818598933486237</v>
      </c>
      <c r="K384">
        <v>0.1529804627181534</v>
      </c>
      <c r="L384">
        <v>0.517498461477634</v>
      </c>
      <c r="M384">
        <v>22.44</v>
      </c>
      <c r="N384">
        <v>17.5</v>
      </c>
    </row>
    <row r="385" spans="1:14">
      <c r="A385" s="1" t="s">
        <v>397</v>
      </c>
      <c r="B385">
        <f>HYPERLINK("https://www.suredividend.com/sure-analysis-research-database/","Carriage Services, Inc.")</f>
        <v>0</v>
      </c>
      <c r="C385" t="s">
        <v>1927</v>
      </c>
      <c r="D385">
        <v>32.78</v>
      </c>
      <c r="E385">
        <v>0.013667650926637</v>
      </c>
      <c r="F385">
        <v>0.125</v>
      </c>
      <c r="G385">
        <v>0.08447177119769855</v>
      </c>
      <c r="H385">
        <v>0.448025597375165</v>
      </c>
      <c r="I385">
        <v>481.788967</v>
      </c>
      <c r="J385">
        <v>8.982064673092339</v>
      </c>
      <c r="K385">
        <v>0.1426833112659761</v>
      </c>
      <c r="L385">
        <v>0.83380608896342</v>
      </c>
      <c r="M385">
        <v>65.78</v>
      </c>
      <c r="N385">
        <v>30.45</v>
      </c>
    </row>
    <row r="386" spans="1:14">
      <c r="A386" s="1" t="s">
        <v>398</v>
      </c>
      <c r="B386">
        <f>HYPERLINK("https://www.suredividend.com/sure-analysis-research-database/","CSW Industrials Inc")</f>
        <v>0</v>
      </c>
      <c r="C386" t="s">
        <v>1924</v>
      </c>
      <c r="D386">
        <v>117.52</v>
      </c>
      <c r="E386">
        <v>0.005434184157742001</v>
      </c>
      <c r="H386">
        <v>0.638625322217908</v>
      </c>
      <c r="I386">
        <v>1813.024875</v>
      </c>
      <c r="J386">
        <v>23.92484659487992</v>
      </c>
      <c r="K386">
        <v>0.1330469421287308</v>
      </c>
      <c r="L386">
        <v>0.708536555526286</v>
      </c>
      <c r="M386">
        <v>144.86</v>
      </c>
      <c r="N386">
        <v>95.89</v>
      </c>
    </row>
    <row r="387" spans="1:14">
      <c r="A387" s="1" t="s">
        <v>399</v>
      </c>
      <c r="B387">
        <f>HYPERLINK("https://www.suredividend.com/sure-analysis-CTBI/","Community Trust Bancorp, Inc.")</f>
        <v>0</v>
      </c>
      <c r="C387" t="s">
        <v>1923</v>
      </c>
      <c r="D387">
        <v>41.33</v>
      </c>
      <c r="E387">
        <v>0.03871279941930801</v>
      </c>
      <c r="F387">
        <v>0.09999999999999987</v>
      </c>
      <c r="G387">
        <v>0.05922384104881218</v>
      </c>
      <c r="H387">
        <v>1.615811059783966</v>
      </c>
      <c r="I387">
        <v>739.863746</v>
      </c>
      <c r="J387">
        <v>9.203544590553433</v>
      </c>
      <c r="K387">
        <v>0.3582729622580856</v>
      </c>
      <c r="L387">
        <v>0.4149243802697231</v>
      </c>
      <c r="M387">
        <v>44.93</v>
      </c>
      <c r="N387">
        <v>38.69</v>
      </c>
    </row>
    <row r="388" spans="1:14">
      <c r="A388" s="1" t="s">
        <v>400</v>
      </c>
      <c r="B388">
        <f>HYPERLINK("https://www.suredividend.com/sure-analysis-research-database/","Cytek BioSciences Inc")</f>
        <v>0</v>
      </c>
      <c r="C388" t="s">
        <v>1921</v>
      </c>
      <c r="D388">
        <v>13.95</v>
      </c>
      <c r="E388">
        <v>0</v>
      </c>
      <c r="H388">
        <v>0</v>
      </c>
      <c r="I388">
        <v>1878.047208</v>
      </c>
      <c r="J388">
        <v>0</v>
      </c>
      <c r="K388" t="s">
        <v>1921</v>
      </c>
      <c r="L388">
        <v>1.472039421420918</v>
      </c>
      <c r="M388">
        <v>26.5</v>
      </c>
      <c r="N388">
        <v>7.38</v>
      </c>
    </row>
    <row r="389" spans="1:14">
      <c r="A389" s="1" t="s">
        <v>401</v>
      </c>
      <c r="B389">
        <f>HYPERLINK("https://www.suredividend.com/sure-analysis-research-database/","Cantaloupe Inc")</f>
        <v>0</v>
      </c>
      <c r="C389" t="s">
        <v>1921</v>
      </c>
      <c r="D389">
        <v>3.31</v>
      </c>
      <c r="E389">
        <v>0</v>
      </c>
      <c r="H389">
        <v>0</v>
      </c>
      <c r="I389">
        <v>235.377436</v>
      </c>
      <c r="J389">
        <v>0</v>
      </c>
      <c r="K389" t="s">
        <v>1921</v>
      </c>
      <c r="L389">
        <v>1.342549839177887</v>
      </c>
      <c r="M389">
        <v>13.25</v>
      </c>
      <c r="N389">
        <v>3.13</v>
      </c>
    </row>
    <row r="390" spans="1:14">
      <c r="A390" s="1" t="s">
        <v>402</v>
      </c>
      <c r="B390">
        <f>HYPERLINK("https://www.suredividend.com/sure-analysis-research-database/","CytomX Therapeutics Inc")</f>
        <v>0</v>
      </c>
      <c r="C390" t="s">
        <v>1922</v>
      </c>
      <c r="D390">
        <v>1.4</v>
      </c>
      <c r="E390">
        <v>0</v>
      </c>
      <c r="H390">
        <v>0</v>
      </c>
      <c r="I390">
        <v>92.330339</v>
      </c>
      <c r="J390" t="s">
        <v>1921</v>
      </c>
      <c r="K390">
        <v>-0</v>
      </c>
      <c r="L390">
        <v>0.9452632871227131</v>
      </c>
      <c r="M390">
        <v>7.53</v>
      </c>
      <c r="N390">
        <v>1.19</v>
      </c>
    </row>
    <row r="391" spans="1:14">
      <c r="A391" s="1" t="s">
        <v>403</v>
      </c>
      <c r="B391">
        <f>HYPERLINK("https://www.suredividend.com/sure-analysis-CTO/","CTO Realty Growth Inc")</f>
        <v>0</v>
      </c>
      <c r="C391" t="s">
        <v>1929</v>
      </c>
      <c r="D391">
        <v>17.47</v>
      </c>
      <c r="E391">
        <v>0.08700629650829995</v>
      </c>
      <c r="F391">
        <v>-0.62</v>
      </c>
      <c r="G391">
        <v>0.4465267498881476</v>
      </c>
      <c r="H391">
        <v>1.41005779244806</v>
      </c>
      <c r="I391">
        <v>320.004594</v>
      </c>
      <c r="J391">
        <v>14.17015426028428</v>
      </c>
      <c r="K391">
        <v>1.110281726337055</v>
      </c>
      <c r="L391">
        <v>0.567218178901792</v>
      </c>
      <c r="M391">
        <v>22.65</v>
      </c>
      <c r="N391">
        <v>16.37</v>
      </c>
    </row>
    <row r="392" spans="1:14">
      <c r="A392" s="1" t="s">
        <v>404</v>
      </c>
      <c r="B392">
        <f>HYPERLINK("https://www.suredividend.com/sure-analysis-research-database/","Custom Truck One Source Inc")</f>
        <v>0</v>
      </c>
      <c r="C392" t="s">
        <v>1921</v>
      </c>
      <c r="D392">
        <v>6.27</v>
      </c>
      <c r="E392">
        <v>0</v>
      </c>
      <c r="H392">
        <v>0</v>
      </c>
      <c r="I392">
        <v>1555.390141</v>
      </c>
      <c r="J392">
        <v>0</v>
      </c>
      <c r="K392" t="s">
        <v>1921</v>
      </c>
      <c r="L392">
        <v>1.128778039806919</v>
      </c>
      <c r="M392">
        <v>11.36</v>
      </c>
      <c r="N392">
        <v>4.54</v>
      </c>
    </row>
    <row r="393" spans="1:14">
      <c r="A393" s="1" t="s">
        <v>405</v>
      </c>
      <c r="B393">
        <f>HYPERLINK("https://www.suredividend.com/sure-analysis-CTRE/","CareTrust REIT Inc")</f>
        <v>0</v>
      </c>
      <c r="C393" t="s">
        <v>1929</v>
      </c>
      <c r="D393">
        <v>16.57</v>
      </c>
      <c r="E393">
        <v>0.0663850331925166</v>
      </c>
      <c r="F393">
        <v>0.03773584905660377</v>
      </c>
      <c r="G393">
        <v>0.08251068824981633</v>
      </c>
      <c r="H393">
        <v>0.783588748204566</v>
      </c>
      <c r="I393">
        <v>1607.766255</v>
      </c>
      <c r="J393">
        <v>0</v>
      </c>
      <c r="K393" t="s">
        <v>1921</v>
      </c>
      <c r="M393">
        <v>22.24</v>
      </c>
      <c r="N393">
        <v>15.2</v>
      </c>
    </row>
    <row r="394" spans="1:14">
      <c r="A394" s="1" t="s">
        <v>406</v>
      </c>
      <c r="B394">
        <f>HYPERLINK("https://www.suredividend.com/sure-analysis-research-database/","Citi Trends Inc")</f>
        <v>0</v>
      </c>
      <c r="C394" t="s">
        <v>1927</v>
      </c>
      <c r="D394">
        <v>19.31</v>
      </c>
      <c r="E394">
        <v>0</v>
      </c>
      <c r="H394">
        <v>0</v>
      </c>
      <c r="I394">
        <v>161.806446</v>
      </c>
      <c r="J394">
        <v>3.478212504729149</v>
      </c>
      <c r="K394">
        <v>0</v>
      </c>
      <c r="L394">
        <v>1.691058990032769</v>
      </c>
      <c r="M394">
        <v>97.45999999999999</v>
      </c>
      <c r="N394">
        <v>15.48</v>
      </c>
    </row>
    <row r="395" spans="1:14">
      <c r="A395" s="1" t="s">
        <v>407</v>
      </c>
      <c r="B395">
        <f>HYPERLINK("https://www.suredividend.com/sure-analysis-research-database/","CTS Corp.")</f>
        <v>0</v>
      </c>
      <c r="C395" t="s">
        <v>1920</v>
      </c>
      <c r="D395">
        <v>41.91</v>
      </c>
      <c r="E395">
        <v>0.003811867984774</v>
      </c>
      <c r="F395">
        <v>0</v>
      </c>
      <c r="G395">
        <v>0</v>
      </c>
      <c r="H395">
        <v>0.159755387241911</v>
      </c>
      <c r="I395">
        <v>1335.47531</v>
      </c>
      <c r="J395" t="s">
        <v>1921</v>
      </c>
      <c r="K395" t="s">
        <v>1921</v>
      </c>
      <c r="L395">
        <v>0.8740334303732551</v>
      </c>
      <c r="M395">
        <v>45.22</v>
      </c>
      <c r="N395">
        <v>28.59</v>
      </c>
    </row>
    <row r="396" spans="1:14">
      <c r="A396" s="1" t="s">
        <v>408</v>
      </c>
      <c r="B396">
        <f>HYPERLINK("https://www.suredividend.com/sure-analysis-research-database/","Cytosorbents Corp")</f>
        <v>0</v>
      </c>
      <c r="C396" t="s">
        <v>1922</v>
      </c>
      <c r="D396">
        <v>1.54</v>
      </c>
      <c r="E396">
        <v>0</v>
      </c>
      <c r="H396">
        <v>0</v>
      </c>
      <c r="I396">
        <v>67.109241</v>
      </c>
      <c r="J396">
        <v>0</v>
      </c>
      <c r="K396" t="s">
        <v>1921</v>
      </c>
      <c r="L396">
        <v>1.049639967170694</v>
      </c>
      <c r="M396">
        <v>7.01</v>
      </c>
      <c r="N396">
        <v>1.18</v>
      </c>
    </row>
    <row r="397" spans="1:14">
      <c r="A397" s="1" t="s">
        <v>409</v>
      </c>
      <c r="B397">
        <f>HYPERLINK("https://www.suredividend.com/sure-analysis-research-database/","CatchMark Timber Trust Inc")</f>
        <v>0</v>
      </c>
      <c r="C397" t="s">
        <v>1929</v>
      </c>
      <c r="D397">
        <v>10.37</v>
      </c>
      <c r="E397">
        <v>0</v>
      </c>
      <c r="H397">
        <v>0.222892087137926</v>
      </c>
      <c r="I397">
        <v>510.983523</v>
      </c>
      <c r="J397">
        <v>0</v>
      </c>
      <c r="K397" t="s">
        <v>1921</v>
      </c>
    </row>
    <row r="398" spans="1:14">
      <c r="A398" s="1" t="s">
        <v>410</v>
      </c>
      <c r="B398">
        <f>HYPERLINK("https://www.suredividend.com/sure-analysis-research-database/","Citius Pharmaceuticals Inc")</f>
        <v>0</v>
      </c>
      <c r="C398" t="s">
        <v>1922</v>
      </c>
      <c r="D398">
        <v>1.14</v>
      </c>
      <c r="E398">
        <v>0</v>
      </c>
      <c r="H398">
        <v>0</v>
      </c>
      <c r="I398">
        <v>166.587778</v>
      </c>
      <c r="J398">
        <v>0</v>
      </c>
      <c r="K398" t="s">
        <v>1921</v>
      </c>
      <c r="L398">
        <v>1.00042758593667</v>
      </c>
      <c r="M398">
        <v>2.25</v>
      </c>
      <c r="N398">
        <v>0.8306</v>
      </c>
    </row>
    <row r="399" spans="1:14">
      <c r="A399" s="1" t="s">
        <v>411</v>
      </c>
      <c r="B399">
        <f>HYPERLINK("https://www.suredividend.com/sure-analysis-research-database/","Customers Bancorp Inc")</f>
        <v>0</v>
      </c>
      <c r="C399" t="s">
        <v>1923</v>
      </c>
      <c r="D399">
        <v>30.54</v>
      </c>
      <c r="E399">
        <v>0</v>
      </c>
      <c r="H399">
        <v>0</v>
      </c>
      <c r="I399">
        <v>991.1621709999999</v>
      </c>
      <c r="J399">
        <v>2.912587226030919</v>
      </c>
      <c r="K399">
        <v>0</v>
      </c>
      <c r="L399">
        <v>1.505344232368938</v>
      </c>
      <c r="M399">
        <v>76.13</v>
      </c>
      <c r="N399">
        <v>29.21</v>
      </c>
    </row>
    <row r="400" spans="1:14">
      <c r="A400" s="1" t="s">
        <v>412</v>
      </c>
      <c r="B400">
        <f>HYPERLINK("https://www.suredividend.com/sure-analysis-research-database/","Cue Biopharma Inc")</f>
        <v>0</v>
      </c>
      <c r="C400" t="s">
        <v>1922</v>
      </c>
      <c r="D400">
        <v>3.04</v>
      </c>
      <c r="E400">
        <v>0</v>
      </c>
      <c r="H400">
        <v>0</v>
      </c>
      <c r="I400">
        <v>107.560499</v>
      </c>
      <c r="J400">
        <v>0</v>
      </c>
      <c r="K400" t="s">
        <v>1921</v>
      </c>
      <c r="L400">
        <v>1.557167356814882</v>
      </c>
      <c r="M400">
        <v>18.42</v>
      </c>
      <c r="N400">
        <v>2.18</v>
      </c>
    </row>
    <row r="401" spans="1:14">
      <c r="A401" s="1" t="s">
        <v>413</v>
      </c>
      <c r="B401">
        <f>HYPERLINK("https://www.suredividend.com/sure-analysis-research-database/","CuriosityStream Inc")</f>
        <v>0</v>
      </c>
      <c r="C401" t="s">
        <v>1921</v>
      </c>
      <c r="D401">
        <v>1.39</v>
      </c>
      <c r="E401">
        <v>0</v>
      </c>
      <c r="H401">
        <v>0</v>
      </c>
      <c r="I401">
        <v>73.38087</v>
      </c>
      <c r="J401">
        <v>0</v>
      </c>
      <c r="K401" t="s">
        <v>1921</v>
      </c>
      <c r="L401">
        <v>1.651652968539705</v>
      </c>
      <c r="M401">
        <v>10.95</v>
      </c>
      <c r="N401">
        <v>1.33</v>
      </c>
    </row>
    <row r="402" spans="1:14">
      <c r="A402" s="1" t="s">
        <v>414</v>
      </c>
      <c r="B402">
        <f>HYPERLINK("https://www.suredividend.com/sure-analysis-research-database/","CURO Group Holdings Corp")</f>
        <v>0</v>
      </c>
      <c r="C402" t="s">
        <v>1923</v>
      </c>
      <c r="D402">
        <v>4.13</v>
      </c>
      <c r="E402">
        <v>0.104543016978537</v>
      </c>
      <c r="H402">
        <v>0.4317626601213581</v>
      </c>
      <c r="I402">
        <v>166.641696</v>
      </c>
      <c r="J402" t="s">
        <v>1921</v>
      </c>
      <c r="K402" t="s">
        <v>1921</v>
      </c>
      <c r="L402">
        <v>1.528530990759062</v>
      </c>
      <c r="M402">
        <v>19.42</v>
      </c>
      <c r="N402">
        <v>4.01</v>
      </c>
    </row>
    <row r="403" spans="1:14">
      <c r="A403" s="1" t="s">
        <v>415</v>
      </c>
      <c r="B403">
        <f>HYPERLINK("https://www.suredividend.com/sure-analysis-research-database/","Torrid Holdings Inc")</f>
        <v>0</v>
      </c>
      <c r="C403" t="s">
        <v>1921</v>
      </c>
      <c r="D403">
        <v>4.38</v>
      </c>
      <c r="E403">
        <v>0</v>
      </c>
      <c r="H403">
        <v>0</v>
      </c>
      <c r="I403">
        <v>453.855863</v>
      </c>
      <c r="J403">
        <v>0</v>
      </c>
      <c r="K403" t="s">
        <v>1921</v>
      </c>
      <c r="L403">
        <v>1.839686760372395</v>
      </c>
      <c r="M403">
        <v>20.95</v>
      </c>
      <c r="N403">
        <v>3.71</v>
      </c>
    </row>
    <row r="404" spans="1:14">
      <c r="A404" s="1" t="s">
        <v>416</v>
      </c>
      <c r="B404">
        <f>HYPERLINK("https://www.suredividend.com/sure-analysis-research-database/","Cutera Inc")</f>
        <v>0</v>
      </c>
      <c r="C404" t="s">
        <v>1922</v>
      </c>
      <c r="D404">
        <v>45.98</v>
      </c>
      <c r="E404">
        <v>0</v>
      </c>
      <c r="H404">
        <v>0</v>
      </c>
      <c r="I404">
        <v>900.077536</v>
      </c>
      <c r="J404" t="s">
        <v>1921</v>
      </c>
      <c r="K404">
        <v>-0</v>
      </c>
      <c r="L404">
        <v>1.577079149055654</v>
      </c>
      <c r="M404">
        <v>74.38</v>
      </c>
      <c r="N404">
        <v>31.62</v>
      </c>
    </row>
    <row r="405" spans="1:14">
      <c r="A405" s="1" t="s">
        <v>417</v>
      </c>
      <c r="B405">
        <f>HYPERLINK("https://www.suredividend.com/sure-analysis-research-database/","CVB Financial Corp.")</f>
        <v>0</v>
      </c>
      <c r="C405" t="s">
        <v>1923</v>
      </c>
      <c r="D405">
        <v>26.35</v>
      </c>
      <c r="E405">
        <v>0.028147868670639</v>
      </c>
      <c r="F405">
        <v>0.1111111111111112</v>
      </c>
      <c r="G405">
        <v>0.07394092378577932</v>
      </c>
      <c r="H405">
        <v>0.7416963394713381</v>
      </c>
      <c r="I405">
        <v>3683.650924</v>
      </c>
      <c r="J405">
        <v>18.32716859035593</v>
      </c>
      <c r="K405">
        <v>0.5115147168767848</v>
      </c>
      <c r="L405">
        <v>0.436722812794049</v>
      </c>
      <c r="M405">
        <v>27.92</v>
      </c>
      <c r="N405">
        <v>18.41</v>
      </c>
    </row>
    <row r="406" spans="1:14">
      <c r="A406" s="1" t="s">
        <v>418</v>
      </c>
      <c r="B406">
        <f>HYPERLINK("https://www.suredividend.com/sure-analysis-research-database/","Cavco Industries Inc")</f>
        <v>0</v>
      </c>
      <c r="C406" t="s">
        <v>1927</v>
      </c>
      <c r="D406">
        <v>213.79</v>
      </c>
      <c r="E406">
        <v>0</v>
      </c>
      <c r="H406">
        <v>0</v>
      </c>
      <c r="I406">
        <v>1901.279793</v>
      </c>
      <c r="J406">
        <v>8.257279075286096</v>
      </c>
      <c r="K406">
        <v>0</v>
      </c>
      <c r="L406">
        <v>1.314090758825243</v>
      </c>
      <c r="M406">
        <v>327.24</v>
      </c>
      <c r="N406">
        <v>179.47</v>
      </c>
    </row>
    <row r="407" spans="1:14">
      <c r="A407" s="1" t="s">
        <v>419</v>
      </c>
      <c r="B407">
        <f>HYPERLINK("https://www.suredividend.com/sure-analysis-research-database/","Covetrus Inc")</f>
        <v>0</v>
      </c>
      <c r="C407" t="s">
        <v>1922</v>
      </c>
      <c r="D407">
        <v>20.93</v>
      </c>
      <c r="E407">
        <v>0</v>
      </c>
      <c r="H407">
        <v>0</v>
      </c>
      <c r="I407">
        <v>2932.76922</v>
      </c>
      <c r="J407">
        <v>0</v>
      </c>
      <c r="K407" t="s">
        <v>1921</v>
      </c>
      <c r="L407">
        <v>0.757535946917921</v>
      </c>
      <c r="M407">
        <v>21.2</v>
      </c>
      <c r="N407">
        <v>13.39</v>
      </c>
    </row>
    <row r="408" spans="1:14">
      <c r="A408" s="1" t="s">
        <v>420</v>
      </c>
      <c r="B408">
        <f>HYPERLINK("https://www.suredividend.com/sure-analysis-research-database/","Commercial Vehicle Group Inc")</f>
        <v>0</v>
      </c>
      <c r="C408" t="s">
        <v>1927</v>
      </c>
      <c r="D408">
        <v>4.37</v>
      </c>
      <c r="E408">
        <v>0</v>
      </c>
      <c r="H408">
        <v>0</v>
      </c>
      <c r="I408">
        <v>145.980798</v>
      </c>
      <c r="J408">
        <v>8.786613596364512</v>
      </c>
      <c r="K408">
        <v>0</v>
      </c>
      <c r="L408">
        <v>0.984646162871142</v>
      </c>
      <c r="M408">
        <v>10.58</v>
      </c>
      <c r="N408">
        <v>4.27</v>
      </c>
    </row>
    <row r="409" spans="1:14">
      <c r="A409" s="1" t="s">
        <v>421</v>
      </c>
      <c r="B409">
        <f>HYPERLINK("https://www.suredividend.com/sure-analysis-research-database/","Calavo Growers, Inc")</f>
        <v>0</v>
      </c>
      <c r="C409" t="s">
        <v>1928</v>
      </c>
      <c r="D409">
        <v>30.79</v>
      </c>
      <c r="E409">
        <v>0.03734978811815901</v>
      </c>
      <c r="H409">
        <v>1.149999976158142</v>
      </c>
      <c r="I409">
        <v>545.957842</v>
      </c>
      <c r="J409" t="s">
        <v>1921</v>
      </c>
      <c r="K409" t="s">
        <v>1921</v>
      </c>
      <c r="L409">
        <v>0.421580732002298</v>
      </c>
      <c r="M409">
        <v>45.5</v>
      </c>
      <c r="N409">
        <v>28.76</v>
      </c>
    </row>
    <row r="410" spans="1:14">
      <c r="A410" s="1" t="s">
        <v>422</v>
      </c>
      <c r="B410">
        <f>HYPERLINK("https://www.suredividend.com/sure-analysis-research-database/","CVR Energy Inc")</f>
        <v>0</v>
      </c>
      <c r="C410" t="s">
        <v>1926</v>
      </c>
      <c r="D410">
        <v>33.03</v>
      </c>
      <c r="E410">
        <v>0.023283011965295</v>
      </c>
      <c r="H410">
        <v>0.7690378852137101</v>
      </c>
      <c r="I410">
        <v>3320.525685</v>
      </c>
      <c r="J410">
        <v>10.09278323699088</v>
      </c>
      <c r="K410">
        <v>0.2351797814109205</v>
      </c>
      <c r="L410">
        <v>0.906092380425176</v>
      </c>
      <c r="M410">
        <v>40.23</v>
      </c>
      <c r="N410">
        <v>13.21</v>
      </c>
    </row>
    <row r="411" spans="1:14">
      <c r="A411" s="1" t="s">
        <v>423</v>
      </c>
      <c r="B411">
        <f>HYPERLINK("https://www.suredividend.com/sure-analysis-research-database/","Covenant Logistics Group Inc")</f>
        <v>0</v>
      </c>
      <c r="C411" t="s">
        <v>1921</v>
      </c>
      <c r="D411">
        <v>30.37</v>
      </c>
      <c r="E411">
        <v>0.006732784556624001</v>
      </c>
      <c r="H411">
        <v>0.204474666984672</v>
      </c>
      <c r="I411">
        <v>367.573637</v>
      </c>
      <c r="J411">
        <v>4.54546579947073</v>
      </c>
      <c r="K411">
        <v>0.04207297674581728</v>
      </c>
      <c r="L411">
        <v>1.004690170233276</v>
      </c>
      <c r="M411">
        <v>34.7</v>
      </c>
      <c r="N411">
        <v>17.13</v>
      </c>
    </row>
    <row r="412" spans="1:14">
      <c r="A412" s="1" t="s">
        <v>424</v>
      </c>
      <c r="B412">
        <f>HYPERLINK("https://www.suredividend.com/sure-analysis-research-database/","Commvault Systems Inc")</f>
        <v>0</v>
      </c>
      <c r="C412" t="s">
        <v>1920</v>
      </c>
      <c r="D412">
        <v>54.67</v>
      </c>
      <c r="E412">
        <v>0</v>
      </c>
      <c r="H412">
        <v>0</v>
      </c>
      <c r="I412">
        <v>2449.575729</v>
      </c>
      <c r="J412">
        <v>105.4125023065668</v>
      </c>
      <c r="K412">
        <v>0</v>
      </c>
      <c r="L412">
        <v>1.02430859425259</v>
      </c>
      <c r="M412">
        <v>77.70999999999999</v>
      </c>
      <c r="N412">
        <v>50.26</v>
      </c>
    </row>
    <row r="413" spans="1:14">
      <c r="A413" s="1" t="s">
        <v>425</v>
      </c>
      <c r="B413">
        <f>HYPERLINK("https://www.suredividend.com/sure-analysis-research-database/","Cel-Sci Corp.")</f>
        <v>0</v>
      </c>
      <c r="C413" t="s">
        <v>1922</v>
      </c>
      <c r="D413">
        <v>3.16</v>
      </c>
      <c r="E413">
        <v>0</v>
      </c>
      <c r="H413">
        <v>0</v>
      </c>
      <c r="I413">
        <v>136.916809</v>
      </c>
      <c r="J413" t="s">
        <v>1921</v>
      </c>
      <c r="K413">
        <v>-0</v>
      </c>
      <c r="L413">
        <v>1.580153098785006</v>
      </c>
      <c r="M413">
        <v>12.82</v>
      </c>
      <c r="N413">
        <v>2.49</v>
      </c>
    </row>
    <row r="414" spans="1:14">
      <c r="A414" s="1" t="s">
        <v>426</v>
      </c>
      <c r="B414">
        <f>HYPERLINK("https://www.suredividend.com/sure-analysis-research-database/","CVRx Inc")</f>
        <v>0</v>
      </c>
      <c r="C414" t="s">
        <v>1921</v>
      </c>
      <c r="D414">
        <v>9.460000000000001</v>
      </c>
      <c r="E414">
        <v>0</v>
      </c>
      <c r="H414">
        <v>0</v>
      </c>
      <c r="I414">
        <v>194.650871</v>
      </c>
      <c r="J414">
        <v>0</v>
      </c>
      <c r="K414" t="s">
        <v>1921</v>
      </c>
      <c r="L414">
        <v>1.413168600132272</v>
      </c>
      <c r="M414">
        <v>19.49</v>
      </c>
      <c r="N414">
        <v>4.6</v>
      </c>
    </row>
    <row r="415" spans="1:14">
      <c r="A415" s="1" t="s">
        <v>427</v>
      </c>
      <c r="B415">
        <f>HYPERLINK("https://www.suredividend.com/sure-analysis-CWEN/","Clearway Energy Inc")</f>
        <v>0</v>
      </c>
      <c r="C415" t="s">
        <v>1930</v>
      </c>
      <c r="D415">
        <v>31.43</v>
      </c>
      <c r="E415">
        <v>0.04581609926821508</v>
      </c>
      <c r="F415">
        <v>0.07742899850523166</v>
      </c>
      <c r="G415">
        <v>0.04587181373204641</v>
      </c>
      <c r="H415">
        <v>1.387240854062902</v>
      </c>
      <c r="I415">
        <v>3570.593222</v>
      </c>
      <c r="J415">
        <v>6.480205484519057</v>
      </c>
      <c r="K415">
        <v>0.2945309668923359</v>
      </c>
      <c r="L415">
        <v>0.805457360477096</v>
      </c>
      <c r="M415">
        <v>41.39</v>
      </c>
      <c r="N415">
        <v>29.33</v>
      </c>
    </row>
    <row r="416" spans="1:14">
      <c r="A416" s="1" t="s">
        <v>428</v>
      </c>
      <c r="B416">
        <f>HYPERLINK("https://www.suredividend.com/sure-analysis-research-database/","Clearway Energy Inc")</f>
        <v>0</v>
      </c>
      <c r="C416" t="s">
        <v>1921</v>
      </c>
      <c r="D416">
        <v>29.44</v>
      </c>
      <c r="E416">
        <v>0</v>
      </c>
      <c r="H416">
        <v>1.364013877257408</v>
      </c>
      <c r="I416">
        <v>3649.023621</v>
      </c>
      <c r="J416">
        <v>0</v>
      </c>
      <c r="K416" t="s">
        <v>1921</v>
      </c>
      <c r="L416">
        <v>0.740100413721515</v>
      </c>
    </row>
    <row r="417" spans="1:14">
      <c r="A417" s="1" t="s">
        <v>429</v>
      </c>
      <c r="B417">
        <f>HYPERLINK("https://www.suredividend.com/sure-analysis-CWH/","Camping World Holdings Inc")</f>
        <v>0</v>
      </c>
      <c r="C417" t="s">
        <v>1927</v>
      </c>
      <c r="D417">
        <v>26.51</v>
      </c>
      <c r="E417">
        <v>0.09430403621274989</v>
      </c>
      <c r="F417">
        <v>0.25</v>
      </c>
      <c r="G417">
        <v>0.5355847386831107</v>
      </c>
      <c r="H417">
        <v>2.305666588327998</v>
      </c>
      <c r="I417">
        <v>1109.515289</v>
      </c>
      <c r="J417">
        <v>4.701495343401471</v>
      </c>
      <c r="K417">
        <v>0.7510314619960905</v>
      </c>
      <c r="L417">
        <v>1.181309545453047</v>
      </c>
      <c r="M417">
        <v>43.33</v>
      </c>
      <c r="N417">
        <v>20.45</v>
      </c>
    </row>
    <row r="418" spans="1:14">
      <c r="A418" s="1" t="s">
        <v>430</v>
      </c>
      <c r="B418">
        <f>HYPERLINK("https://www.suredividend.com/sure-analysis-research-database/","Cushman &amp; Wakefield plc")</f>
        <v>0</v>
      </c>
      <c r="C418" t="s">
        <v>1929</v>
      </c>
      <c r="D418">
        <v>11.28</v>
      </c>
      <c r="E418">
        <v>0</v>
      </c>
      <c r="H418">
        <v>0</v>
      </c>
      <c r="I418">
        <v>2545.611496</v>
      </c>
      <c r="J418">
        <v>7.126571936842105</v>
      </c>
      <c r="K418">
        <v>0</v>
      </c>
      <c r="L418">
        <v>1.225793966322671</v>
      </c>
      <c r="M418">
        <v>23.54</v>
      </c>
      <c r="N418">
        <v>10.94</v>
      </c>
    </row>
    <row r="419" spans="1:14">
      <c r="A419" s="1" t="s">
        <v>431</v>
      </c>
      <c r="B419">
        <f>HYPERLINK("https://www.suredividend.com/sure-analysis-research-database/","Casella Waste Systems, Inc.")</f>
        <v>0</v>
      </c>
      <c r="C419" t="s">
        <v>1924</v>
      </c>
      <c r="D419">
        <v>71.68000000000001</v>
      </c>
      <c r="E419">
        <v>0</v>
      </c>
      <c r="H419">
        <v>0</v>
      </c>
      <c r="I419">
        <v>3633.447803</v>
      </c>
      <c r="J419">
        <v>77.32056100783113</v>
      </c>
      <c r="K419">
        <v>0</v>
      </c>
      <c r="L419">
        <v>0.6877871709754301</v>
      </c>
      <c r="M419">
        <v>92.75</v>
      </c>
      <c r="N419">
        <v>63.9</v>
      </c>
    </row>
    <row r="420" spans="1:14">
      <c r="A420" s="1" t="s">
        <v>432</v>
      </c>
      <c r="B420">
        <f>HYPERLINK("https://www.suredividend.com/sure-analysis-CWT/","California Water Service Group")</f>
        <v>0</v>
      </c>
      <c r="C420" t="s">
        <v>1930</v>
      </c>
      <c r="D420">
        <v>53.36</v>
      </c>
      <c r="E420">
        <v>0.01874062968515742</v>
      </c>
      <c r="F420">
        <v>0.08695652173913038</v>
      </c>
      <c r="G420">
        <v>0.06790716584560208</v>
      </c>
      <c r="H420">
        <v>0.9737242504038921</v>
      </c>
      <c r="I420">
        <v>2900.43616</v>
      </c>
      <c r="J420">
        <v>33.47262189703523</v>
      </c>
      <c r="K420">
        <v>0.5973768407385841</v>
      </c>
      <c r="L420">
        <v>0.462008024097471</v>
      </c>
      <c r="M420">
        <v>71.14</v>
      </c>
      <c r="N420">
        <v>48.26</v>
      </c>
    </row>
    <row r="421" spans="1:14">
      <c r="A421" s="1" t="s">
        <v>433</v>
      </c>
      <c r="B421">
        <f>HYPERLINK("https://www.suredividend.com/sure-analysis-research-database/","CoreCivic Inc")</f>
        <v>0</v>
      </c>
      <c r="C421" t="s">
        <v>1929</v>
      </c>
      <c r="D421">
        <v>9.539999999999999</v>
      </c>
      <c r="E421">
        <v>0</v>
      </c>
      <c r="H421">
        <v>0</v>
      </c>
      <c r="I421">
        <v>1122.089381</v>
      </c>
      <c r="J421">
        <v>12.80719270070993</v>
      </c>
      <c r="K421">
        <v>0</v>
      </c>
      <c r="L421">
        <v>0.85756594194847</v>
      </c>
      <c r="M421">
        <v>14.24</v>
      </c>
      <c r="N421">
        <v>8.23</v>
      </c>
    </row>
    <row r="422" spans="1:14">
      <c r="A422" s="1" t="s">
        <v>434</v>
      </c>
      <c r="B422">
        <f>HYPERLINK("https://www.suredividend.com/sure-analysis-research-database/","Community Health Systems, Inc.")</f>
        <v>0</v>
      </c>
      <c r="C422" t="s">
        <v>1922</v>
      </c>
      <c r="D422">
        <v>2.08</v>
      </c>
      <c r="E422">
        <v>0</v>
      </c>
      <c r="H422">
        <v>0</v>
      </c>
      <c r="I422">
        <v>280.203184</v>
      </c>
      <c r="J422" t="s">
        <v>1921</v>
      </c>
      <c r="K422">
        <v>-0</v>
      </c>
      <c r="L422">
        <v>1.481236330513231</v>
      </c>
      <c r="M422">
        <v>15.29</v>
      </c>
      <c r="N422">
        <v>2.02</v>
      </c>
    </row>
    <row r="423" spans="1:14">
      <c r="A423" s="1" t="s">
        <v>435</v>
      </c>
      <c r="B423">
        <f>HYPERLINK("https://www.suredividend.com/sure-analysis-research-database/","CryoPort Inc")</f>
        <v>0</v>
      </c>
      <c r="C423" t="s">
        <v>1924</v>
      </c>
      <c r="D423">
        <v>24.18</v>
      </c>
      <c r="E423">
        <v>0</v>
      </c>
      <c r="H423">
        <v>0</v>
      </c>
      <c r="I423">
        <v>1172.483437</v>
      </c>
      <c r="J423">
        <v>0</v>
      </c>
      <c r="K423" t="s">
        <v>1921</v>
      </c>
      <c r="L423">
        <v>2.081690803715577</v>
      </c>
      <c r="M423">
        <v>86.3</v>
      </c>
      <c r="N423">
        <v>19.82</v>
      </c>
    </row>
    <row r="424" spans="1:14">
      <c r="A424" s="1" t="s">
        <v>436</v>
      </c>
      <c r="B424">
        <f>HYPERLINK("https://www.suredividend.com/sure-analysis-research-database/","Cyteir Therapeutics Inc")</f>
        <v>0</v>
      </c>
      <c r="C424" t="s">
        <v>1921</v>
      </c>
      <c r="D424">
        <v>1.9</v>
      </c>
      <c r="E424">
        <v>0</v>
      </c>
      <c r="H424">
        <v>0</v>
      </c>
      <c r="I424">
        <v>67.285509</v>
      </c>
      <c r="J424">
        <v>0</v>
      </c>
      <c r="K424" t="s">
        <v>1921</v>
      </c>
      <c r="L424">
        <v>1.481484448288199</v>
      </c>
      <c r="M424">
        <v>19.5</v>
      </c>
      <c r="N424">
        <v>1.56</v>
      </c>
    </row>
    <row r="425" spans="1:14">
      <c r="A425" s="1" t="s">
        <v>437</v>
      </c>
      <c r="B425">
        <f>HYPERLINK("https://www.suredividend.com/sure-analysis-research-database/","Cytokinetics Inc")</f>
        <v>0</v>
      </c>
      <c r="C425" t="s">
        <v>1922</v>
      </c>
      <c r="D425">
        <v>47.23</v>
      </c>
      <c r="E425">
        <v>0</v>
      </c>
      <c r="H425">
        <v>0</v>
      </c>
      <c r="I425">
        <v>4446.425701</v>
      </c>
      <c r="J425" t="s">
        <v>1921</v>
      </c>
      <c r="K425">
        <v>-0</v>
      </c>
      <c r="L425">
        <v>1.114058309975097</v>
      </c>
      <c r="M425">
        <v>55.8</v>
      </c>
      <c r="N425">
        <v>29.26</v>
      </c>
    </row>
    <row r="426" spans="1:14">
      <c r="A426" s="1" t="s">
        <v>438</v>
      </c>
      <c r="B426">
        <f>HYPERLINK("https://www.suredividend.com/sure-analysis-research-database/","Citizens &amp; Northern Corp")</f>
        <v>0</v>
      </c>
      <c r="C426" t="s">
        <v>1923</v>
      </c>
      <c r="D426">
        <v>23.11</v>
      </c>
      <c r="E426">
        <v>0.047642809255927</v>
      </c>
      <c r="F426">
        <v>0</v>
      </c>
      <c r="G426">
        <v>0.007300045195211657</v>
      </c>
      <c r="H426">
        <v>1.101025321904482</v>
      </c>
      <c r="I426">
        <v>358.044524</v>
      </c>
      <c r="J426">
        <v>12.4122763696873</v>
      </c>
      <c r="K426">
        <v>0.5951488226510714</v>
      </c>
      <c r="L426">
        <v>0.413694775022597</v>
      </c>
      <c r="M426">
        <v>27.05</v>
      </c>
      <c r="N426">
        <v>22.95</v>
      </c>
    </row>
    <row r="427" spans="1:14">
      <c r="A427" s="1" t="s">
        <v>439</v>
      </c>
      <c r="B427">
        <f>HYPERLINK("https://www.suredividend.com/sure-analysis-research-database/","Daktronics Inc.")</f>
        <v>0</v>
      </c>
      <c r="C427" t="s">
        <v>1920</v>
      </c>
      <c r="D427">
        <v>2.77</v>
      </c>
      <c r="E427">
        <v>0</v>
      </c>
      <c r="H427">
        <v>0</v>
      </c>
      <c r="I427">
        <v>124.743734</v>
      </c>
      <c r="J427" t="s">
        <v>1921</v>
      </c>
      <c r="K427">
        <v>-0</v>
      </c>
      <c r="L427">
        <v>0.807688784129954</v>
      </c>
      <c r="M427">
        <v>6</v>
      </c>
      <c r="N427">
        <v>2.65</v>
      </c>
    </row>
    <row r="428" spans="1:14">
      <c r="A428" s="1" t="s">
        <v>440</v>
      </c>
      <c r="B428">
        <f>HYPERLINK("https://www.suredividend.com/sure-analysis-research-database/","Dana Inc")</f>
        <v>0</v>
      </c>
      <c r="C428" t="s">
        <v>1927</v>
      </c>
      <c r="D428">
        <v>12.26</v>
      </c>
      <c r="E428">
        <v>0.032330453394795</v>
      </c>
      <c r="H428">
        <v>0.396371358620188</v>
      </c>
      <c r="I428">
        <v>1757.510526</v>
      </c>
      <c r="J428">
        <v>17.93378088</v>
      </c>
      <c r="K428">
        <v>0.5872168275854637</v>
      </c>
      <c r="L428">
        <v>1.629111525285501</v>
      </c>
      <c r="M428">
        <v>25.06</v>
      </c>
      <c r="N428">
        <v>11.17</v>
      </c>
    </row>
    <row r="429" spans="1:14">
      <c r="A429" s="1" t="s">
        <v>441</v>
      </c>
      <c r="B429">
        <f>HYPERLINK("https://www.suredividend.com/sure-analysis-research-database/","Day One Biopharmaceuticals Inc")</f>
        <v>0</v>
      </c>
      <c r="C429" t="s">
        <v>1921</v>
      </c>
      <c r="D429">
        <v>19.62</v>
      </c>
      <c r="E429">
        <v>0</v>
      </c>
      <c r="H429">
        <v>0</v>
      </c>
      <c r="I429">
        <v>1441.306782</v>
      </c>
      <c r="J429">
        <v>0</v>
      </c>
      <c r="K429" t="s">
        <v>1921</v>
      </c>
      <c r="L429">
        <v>0.262167400208164</v>
      </c>
      <c r="M429">
        <v>28.35</v>
      </c>
      <c r="N429">
        <v>5.44</v>
      </c>
    </row>
    <row r="430" spans="1:14">
      <c r="A430" s="1" t="s">
        <v>442</v>
      </c>
      <c r="B430">
        <f>HYPERLINK("https://www.suredividend.com/sure-analysis-research-database/","Diebold Nixdorf Inc")</f>
        <v>0</v>
      </c>
      <c r="C430" t="s">
        <v>1920</v>
      </c>
      <c r="D430">
        <v>2.8</v>
      </c>
      <c r="E430">
        <v>0</v>
      </c>
      <c r="H430">
        <v>0</v>
      </c>
      <c r="I430">
        <v>221.37369</v>
      </c>
      <c r="J430" t="s">
        <v>1921</v>
      </c>
      <c r="K430">
        <v>-0</v>
      </c>
      <c r="L430">
        <v>1.763660113820848</v>
      </c>
      <c r="M430">
        <v>11.29</v>
      </c>
      <c r="N430">
        <v>2.12</v>
      </c>
    </row>
    <row r="431" spans="1:14">
      <c r="A431" s="1" t="s">
        <v>443</v>
      </c>
      <c r="B431">
        <f>HYPERLINK("https://www.suredividend.com/sure-analysis-research-database/","Designer Brands Inc")</f>
        <v>0</v>
      </c>
      <c r="C431" t="s">
        <v>1927</v>
      </c>
      <c r="D431">
        <v>14.95</v>
      </c>
      <c r="E431">
        <v>0.010012691652967</v>
      </c>
      <c r="H431">
        <v>0.149689740211863</v>
      </c>
      <c r="I431">
        <v>844.688724</v>
      </c>
      <c r="J431">
        <v>5.058319205341637</v>
      </c>
      <c r="K431">
        <v>0.0683514795487959</v>
      </c>
      <c r="L431">
        <v>1.328665590690971</v>
      </c>
      <c r="M431">
        <v>19.32</v>
      </c>
      <c r="N431">
        <v>11.17</v>
      </c>
    </row>
    <row r="432" spans="1:14">
      <c r="A432" s="1" t="s">
        <v>444</v>
      </c>
      <c r="B432">
        <f>HYPERLINK("https://www.suredividend.com/sure-analysis-research-database/","DigitalBridge Group Inc")</f>
        <v>0</v>
      </c>
      <c r="C432" t="s">
        <v>1921</v>
      </c>
      <c r="D432">
        <v>12.57</v>
      </c>
      <c r="E432">
        <v>0.000795544930507</v>
      </c>
      <c r="H432">
        <v>0.009999999776482001</v>
      </c>
      <c r="I432">
        <v>8240.814066000001</v>
      </c>
      <c r="J432" t="s">
        <v>1921</v>
      </c>
      <c r="K432" t="s">
        <v>1921</v>
      </c>
      <c r="L432">
        <v>1.419774546190543</v>
      </c>
      <c r="M432">
        <v>34.17</v>
      </c>
      <c r="N432">
        <v>12.24</v>
      </c>
    </row>
    <row r="433" spans="1:14">
      <c r="A433" s="1" t="s">
        <v>445</v>
      </c>
      <c r="B433">
        <f>HYPERLINK("https://www.suredividend.com/sure-analysis-research-database/","Ducommun Inc.")</f>
        <v>0</v>
      </c>
      <c r="C433" t="s">
        <v>1924</v>
      </c>
      <c r="D433">
        <v>41.75</v>
      </c>
      <c r="E433">
        <v>0</v>
      </c>
      <c r="H433">
        <v>0</v>
      </c>
      <c r="I433">
        <v>504.036645</v>
      </c>
      <c r="J433">
        <v>3.799347558493638</v>
      </c>
      <c r="K433">
        <v>0</v>
      </c>
      <c r="L433">
        <v>0.8587036612635131</v>
      </c>
      <c r="M433">
        <v>58.18</v>
      </c>
      <c r="N433">
        <v>38.89</v>
      </c>
    </row>
    <row r="434" spans="1:14">
      <c r="A434" s="1" t="s">
        <v>446</v>
      </c>
      <c r="B434">
        <f>HYPERLINK("https://www.suredividend.com/sure-analysis-research-database/","Dime Community Bancshares Inc")</f>
        <v>0</v>
      </c>
      <c r="C434" t="s">
        <v>1923</v>
      </c>
      <c r="D434">
        <v>30.62</v>
      </c>
      <c r="E434">
        <v>0.031004159509274</v>
      </c>
      <c r="F434">
        <v>0</v>
      </c>
      <c r="G434">
        <v>0.008548252303932413</v>
      </c>
      <c r="H434">
        <v>0.9493473641739891</v>
      </c>
      <c r="I434">
        <v>1181.853643</v>
      </c>
      <c r="J434">
        <v>8.574408846954693</v>
      </c>
      <c r="K434">
        <v>0.2728009667166635</v>
      </c>
      <c r="L434">
        <v>0.7687741253432571</v>
      </c>
      <c r="M434">
        <v>37.63</v>
      </c>
      <c r="N434">
        <v>28.13</v>
      </c>
    </row>
    <row r="435" spans="1:14">
      <c r="A435" s="1" t="s">
        <v>447</v>
      </c>
      <c r="B435">
        <f>HYPERLINK("https://www.suredividend.com/sure-analysis-research-database/","Deciphera Pharmaceuticals Inc")</f>
        <v>0</v>
      </c>
      <c r="C435" t="s">
        <v>1922</v>
      </c>
      <c r="D435">
        <v>17.49</v>
      </c>
      <c r="E435">
        <v>0</v>
      </c>
      <c r="H435">
        <v>0</v>
      </c>
      <c r="I435">
        <v>1168.718284</v>
      </c>
      <c r="J435">
        <v>0</v>
      </c>
      <c r="K435" t="s">
        <v>1921</v>
      </c>
      <c r="L435">
        <v>1.367013690145045</v>
      </c>
      <c r="M435">
        <v>37.99</v>
      </c>
      <c r="N435">
        <v>6.51</v>
      </c>
    </row>
    <row r="436" spans="1:14">
      <c r="A436" s="1" t="s">
        <v>448</v>
      </c>
      <c r="B436">
        <f>HYPERLINK("https://www.suredividend.com/sure-analysis-research-database/","3D Systems Corp.")</f>
        <v>0</v>
      </c>
      <c r="C436" t="s">
        <v>1920</v>
      </c>
      <c r="D436">
        <v>8.33</v>
      </c>
      <c r="E436">
        <v>0</v>
      </c>
      <c r="H436">
        <v>0</v>
      </c>
      <c r="I436">
        <v>1085.243379</v>
      </c>
      <c r="J436">
        <v>4.787218914052299</v>
      </c>
      <c r="K436">
        <v>0</v>
      </c>
      <c r="L436">
        <v>1.84830786736826</v>
      </c>
      <c r="M436">
        <v>34.97</v>
      </c>
      <c r="N436">
        <v>7.8</v>
      </c>
    </row>
    <row r="437" spans="1:14">
      <c r="A437" s="1" t="s">
        <v>449</v>
      </c>
      <c r="B437">
        <f>HYPERLINK("https://www.suredividend.com/sure-analysis-DDS/","Dillard`s Inc.")</f>
        <v>0</v>
      </c>
      <c r="C437" t="s">
        <v>1927</v>
      </c>
      <c r="D437">
        <v>282.88</v>
      </c>
      <c r="E437">
        <v>0.002828054298642534</v>
      </c>
      <c r="F437">
        <v>-0.9866666666666667</v>
      </c>
      <c r="G437">
        <v>0.1486983549970351</v>
      </c>
      <c r="H437">
        <v>0.799091928029771</v>
      </c>
      <c r="I437">
        <v>3719.783176</v>
      </c>
      <c r="J437">
        <v>3.986427326708904</v>
      </c>
      <c r="K437">
        <v>0.01614001066511353</v>
      </c>
      <c r="L437">
        <v>1.739121307755465</v>
      </c>
      <c r="M437">
        <v>415.45</v>
      </c>
      <c r="N437">
        <v>192.86</v>
      </c>
    </row>
    <row r="438" spans="1:14">
      <c r="A438" s="1" t="s">
        <v>450</v>
      </c>
      <c r="B438">
        <f>HYPERLINK("https://www.suredividend.com/sure-analysis-DEA/","Easterly Government Properties Inc")</f>
        <v>0</v>
      </c>
      <c r="C438" t="s">
        <v>1929</v>
      </c>
      <c r="D438">
        <v>15.18</v>
      </c>
      <c r="E438">
        <v>0.06982872200263505</v>
      </c>
      <c r="F438">
        <v>0</v>
      </c>
      <c r="G438">
        <v>0.003816904892658401</v>
      </c>
      <c r="H438">
        <v>1.038149466746484</v>
      </c>
      <c r="I438">
        <v>1378.596322</v>
      </c>
      <c r="J438">
        <v>47.72045837377548</v>
      </c>
      <c r="K438">
        <v>3.17379843089723</v>
      </c>
      <c r="L438">
        <v>0.356496750261202</v>
      </c>
      <c r="M438">
        <v>22.7</v>
      </c>
      <c r="N438">
        <v>14.8</v>
      </c>
    </row>
    <row r="439" spans="1:14">
      <c r="A439" s="1" t="s">
        <v>451</v>
      </c>
      <c r="B439">
        <f>HYPERLINK("https://www.suredividend.com/sure-analysis-research-database/","Denbury Inc.")</f>
        <v>0</v>
      </c>
      <c r="C439" t="s">
        <v>1921</v>
      </c>
      <c r="D439">
        <v>99.02</v>
      </c>
      <c r="E439">
        <v>0</v>
      </c>
      <c r="H439">
        <v>0</v>
      </c>
      <c r="I439">
        <v>4923.49264</v>
      </c>
      <c r="J439" t="s">
        <v>1921</v>
      </c>
      <c r="K439">
        <v>-0</v>
      </c>
      <c r="L439">
        <v>1.13590539027616</v>
      </c>
      <c r="M439">
        <v>104.05</v>
      </c>
      <c r="N439">
        <v>56.59</v>
      </c>
    </row>
    <row r="440" spans="1:14">
      <c r="A440" s="1" t="s">
        <v>452</v>
      </c>
      <c r="B440">
        <f>HYPERLINK("https://www.suredividend.com/sure-analysis-research-database/","Denny`s Corp.")</f>
        <v>0</v>
      </c>
      <c r="C440" t="s">
        <v>1927</v>
      </c>
      <c r="D440">
        <v>9.539999999999999</v>
      </c>
      <c r="E440">
        <v>0</v>
      </c>
      <c r="H440">
        <v>0</v>
      </c>
      <c r="I440">
        <v>552.648632</v>
      </c>
      <c r="J440">
        <v>5.494726799498896</v>
      </c>
      <c r="K440">
        <v>0</v>
      </c>
      <c r="L440">
        <v>1.019029574287942</v>
      </c>
      <c r="M440">
        <v>17.4</v>
      </c>
      <c r="N440">
        <v>8.460000000000001</v>
      </c>
    </row>
    <row r="441" spans="1:14">
      <c r="A441" s="1" t="s">
        <v>453</v>
      </c>
      <c r="B441">
        <f>HYPERLINK("https://www.suredividend.com/sure-analysis-research-database/","Donnelley Financial Solutions Inc")</f>
        <v>0</v>
      </c>
      <c r="C441" t="s">
        <v>1923</v>
      </c>
      <c r="D441">
        <v>37.74</v>
      </c>
      <c r="E441">
        <v>0</v>
      </c>
      <c r="H441">
        <v>0</v>
      </c>
      <c r="I441">
        <v>1121.491728</v>
      </c>
      <c r="J441">
        <v>7.999227730955778</v>
      </c>
      <c r="K441">
        <v>0</v>
      </c>
      <c r="L441">
        <v>1.383777212886048</v>
      </c>
      <c r="M441">
        <v>52.33</v>
      </c>
      <c r="N441">
        <v>24.6</v>
      </c>
    </row>
    <row r="442" spans="1:14">
      <c r="A442" s="1" t="s">
        <v>454</v>
      </c>
      <c r="B442">
        <f>HYPERLINK("https://www.suredividend.com/sure-analysis-research-database/","Donegal Group Inc.")</f>
        <v>0</v>
      </c>
      <c r="C442" t="s">
        <v>1923</v>
      </c>
      <c r="D442">
        <v>13.33</v>
      </c>
      <c r="E442">
        <v>0.047939732868428</v>
      </c>
      <c r="F442">
        <v>0.03125</v>
      </c>
      <c r="G442">
        <v>0.03340648293877924</v>
      </c>
      <c r="H442">
        <v>0.6390366391361511</v>
      </c>
      <c r="I442">
        <v>429.929602</v>
      </c>
      <c r="J442">
        <v>122.9226535226538</v>
      </c>
      <c r="K442">
        <v>5.660200523792303</v>
      </c>
      <c r="L442">
        <v>0.285093984692581</v>
      </c>
      <c r="M442">
        <v>16.94</v>
      </c>
      <c r="N442">
        <v>12.79</v>
      </c>
    </row>
    <row r="443" spans="1:14">
      <c r="A443" s="1" t="s">
        <v>455</v>
      </c>
      <c r="B443">
        <f>HYPERLINK("https://www.suredividend.com/sure-analysis-research-database/","Digi International, Inc.")</f>
        <v>0</v>
      </c>
      <c r="C443" t="s">
        <v>1920</v>
      </c>
      <c r="D443">
        <v>35.62</v>
      </c>
      <c r="E443">
        <v>0</v>
      </c>
      <c r="H443">
        <v>0</v>
      </c>
      <c r="I443">
        <v>1249.71908</v>
      </c>
      <c r="J443">
        <v>98.03256039849389</v>
      </c>
      <c r="K443">
        <v>0</v>
      </c>
      <c r="L443">
        <v>1.035940926997151</v>
      </c>
      <c r="M443">
        <v>38.95</v>
      </c>
      <c r="N443">
        <v>18.54</v>
      </c>
    </row>
    <row r="444" spans="1:14">
      <c r="A444" s="1" t="s">
        <v>456</v>
      </c>
      <c r="B444">
        <f>HYPERLINK("https://www.suredividend.com/sure-analysis-DHC/","Diversified Healthcare Trust")</f>
        <v>0</v>
      </c>
      <c r="C444" t="s">
        <v>1929</v>
      </c>
      <c r="D444">
        <v>0.9388000000000001</v>
      </c>
      <c r="E444">
        <v>0.0423122669273</v>
      </c>
      <c r="F444">
        <v>0</v>
      </c>
      <c r="G444">
        <v>-0.5193963347123083</v>
      </c>
      <c r="H444">
        <v>0.039722756191349</v>
      </c>
      <c r="I444">
        <v>224.489138</v>
      </c>
      <c r="J444">
        <v>0.5511884592120441</v>
      </c>
      <c r="K444">
        <v>0.02322968198324503</v>
      </c>
      <c r="L444">
        <v>1.128015759510249</v>
      </c>
      <c r="M444">
        <v>3.93</v>
      </c>
      <c r="N444">
        <v>0.9059</v>
      </c>
    </row>
    <row r="445" spans="1:14">
      <c r="A445" s="1" t="s">
        <v>457</v>
      </c>
      <c r="B445">
        <f>HYPERLINK("https://www.suredividend.com/sure-analysis-research-database/","Diamond Hill Investment Group, Inc.")</f>
        <v>0</v>
      </c>
      <c r="C445" t="s">
        <v>1923</v>
      </c>
      <c r="D445">
        <v>162.75</v>
      </c>
      <c r="E445">
        <v>0.033413896439041</v>
      </c>
      <c r="H445">
        <v>5.438111645454072</v>
      </c>
      <c r="I445">
        <v>504.340604</v>
      </c>
      <c r="J445">
        <v>8.821753876930018</v>
      </c>
      <c r="K445">
        <v>0.3021173136363373</v>
      </c>
      <c r="L445">
        <v>0.7680168814005751</v>
      </c>
      <c r="M445">
        <v>229.22</v>
      </c>
      <c r="N445">
        <v>160</v>
      </c>
    </row>
    <row r="446" spans="1:14">
      <c r="A446" s="1" t="s">
        <v>458</v>
      </c>
      <c r="B446">
        <f>HYPERLINK("https://www.suredividend.com/sure-analysis-DHT/","DHT Holdings Inc")</f>
        <v>0</v>
      </c>
      <c r="C446" t="s">
        <v>1926</v>
      </c>
      <c r="D446">
        <v>7.44</v>
      </c>
      <c r="E446">
        <v>0.013371292300939</v>
      </c>
      <c r="F446">
        <v>1</v>
      </c>
      <c r="G446">
        <v>0.1486983549970351</v>
      </c>
      <c r="H446">
        <v>0.09948241471899201</v>
      </c>
      <c r="I446">
        <v>1270.73956</v>
      </c>
      <c r="J446" t="s">
        <v>1921</v>
      </c>
      <c r="K446" t="s">
        <v>1921</v>
      </c>
      <c r="L446">
        <v>0.6213768429062131</v>
      </c>
      <c r="M446">
        <v>9.31</v>
      </c>
      <c r="N446">
        <v>4.49</v>
      </c>
    </row>
    <row r="447" spans="1:14">
      <c r="A447" s="1" t="s">
        <v>459</v>
      </c>
      <c r="B447">
        <f>HYPERLINK("https://www.suredividend.com/sure-analysis-research-database/","1stdibs.com Inc")</f>
        <v>0</v>
      </c>
      <c r="C447" t="s">
        <v>1921</v>
      </c>
      <c r="D447">
        <v>6.28</v>
      </c>
      <c r="E447">
        <v>0</v>
      </c>
      <c r="H447">
        <v>0</v>
      </c>
      <c r="I447">
        <v>242.366772</v>
      </c>
      <c r="J447">
        <v>0</v>
      </c>
      <c r="K447" t="s">
        <v>1921</v>
      </c>
      <c r="L447">
        <v>1.288567178396407</v>
      </c>
      <c r="M447">
        <v>19</v>
      </c>
      <c r="N447">
        <v>4.77</v>
      </c>
    </row>
    <row r="448" spans="1:14">
      <c r="A448" s="1" t="s">
        <v>460</v>
      </c>
      <c r="B448">
        <f>HYPERLINK("https://www.suredividend.com/sure-analysis-research-database/","DICE Therapeutics Inc")</f>
        <v>0</v>
      </c>
      <c r="C448" t="s">
        <v>1921</v>
      </c>
      <c r="D448">
        <v>24.65</v>
      </c>
      <c r="E448">
        <v>0</v>
      </c>
      <c r="H448">
        <v>0</v>
      </c>
      <c r="I448">
        <v>941.8968609999999</v>
      </c>
      <c r="J448">
        <v>0</v>
      </c>
      <c r="K448" t="s">
        <v>1921</v>
      </c>
      <c r="L448">
        <v>1.150541440216137</v>
      </c>
      <c r="M448">
        <v>38.18</v>
      </c>
      <c r="N448">
        <v>12.64</v>
      </c>
    </row>
    <row r="449" spans="1:14">
      <c r="A449" s="1" t="s">
        <v>461</v>
      </c>
      <c r="B449">
        <f>HYPERLINK("https://www.suredividend.com/sure-analysis-research-database/","Dine Brands Global Inc")</f>
        <v>0</v>
      </c>
      <c r="C449" t="s">
        <v>1927</v>
      </c>
      <c r="D449">
        <v>65.13</v>
      </c>
      <c r="E449">
        <v>0.028584185719256</v>
      </c>
      <c r="H449">
        <v>1.861688015895154</v>
      </c>
      <c r="I449">
        <v>1021.31584</v>
      </c>
      <c r="J449">
        <v>11.43050743782876</v>
      </c>
      <c r="K449">
        <v>0.3479790683916176</v>
      </c>
      <c r="L449">
        <v>1.245066865906789</v>
      </c>
      <c r="M449">
        <v>92.56</v>
      </c>
      <c r="N449">
        <v>60.14</v>
      </c>
    </row>
    <row r="450" spans="1:14">
      <c r="A450" s="1" t="s">
        <v>462</v>
      </c>
      <c r="B450">
        <f>HYPERLINK("https://www.suredividend.com/sure-analysis-research-database/","Diodes, Inc.")</f>
        <v>0</v>
      </c>
      <c r="C450" t="s">
        <v>1920</v>
      </c>
      <c r="D450">
        <v>68.84999999999999</v>
      </c>
      <c r="E450">
        <v>0</v>
      </c>
      <c r="H450">
        <v>0</v>
      </c>
      <c r="I450">
        <v>3131.36864</v>
      </c>
      <c r="J450">
        <v>10.91894791567143</v>
      </c>
      <c r="K450">
        <v>0</v>
      </c>
      <c r="L450">
        <v>1.600374616618968</v>
      </c>
      <c r="M450">
        <v>113.98</v>
      </c>
      <c r="N450">
        <v>58.52</v>
      </c>
    </row>
    <row r="451" spans="1:14">
      <c r="A451" s="1" t="s">
        <v>463</v>
      </c>
      <c r="B451">
        <f>HYPERLINK("https://www.suredividend.com/sure-analysis-research-database/","Daily Journal Corporation")</f>
        <v>0</v>
      </c>
      <c r="C451" t="s">
        <v>1931</v>
      </c>
      <c r="D451">
        <v>258.25</v>
      </c>
      <c r="E451">
        <v>0</v>
      </c>
      <c r="H451">
        <v>0</v>
      </c>
      <c r="I451">
        <v>355.616965</v>
      </c>
      <c r="J451">
        <v>0</v>
      </c>
      <c r="K451" t="s">
        <v>1921</v>
      </c>
      <c r="M451">
        <v>415.66</v>
      </c>
      <c r="N451">
        <v>236.01</v>
      </c>
    </row>
    <row r="452" spans="1:14">
      <c r="A452" s="1" t="s">
        <v>464</v>
      </c>
      <c r="B452">
        <f>HYPERLINK("https://www.suredividend.com/sure-analysis-research-database/","Delek US Holdings Inc")</f>
        <v>0</v>
      </c>
      <c r="C452" t="s">
        <v>1926</v>
      </c>
      <c r="D452">
        <v>29.28</v>
      </c>
      <c r="E452">
        <v>0.006830601194680001</v>
      </c>
      <c r="H452">
        <v>0.200000002980232</v>
      </c>
      <c r="I452">
        <v>2079.90644</v>
      </c>
      <c r="J452">
        <v>0</v>
      </c>
      <c r="K452" t="s">
        <v>1921</v>
      </c>
      <c r="L452">
        <v>0.8179157963204171</v>
      </c>
      <c r="M452">
        <v>34.69</v>
      </c>
      <c r="N452">
        <v>13.85</v>
      </c>
    </row>
    <row r="453" spans="1:14">
      <c r="A453" s="1" t="s">
        <v>465</v>
      </c>
      <c r="B453">
        <f>HYPERLINK("https://www.suredividend.com/sure-analysis-research-database/","Duluth Holdings Inc")</f>
        <v>0</v>
      </c>
      <c r="C453" t="s">
        <v>1927</v>
      </c>
      <c r="D453">
        <v>7.1</v>
      </c>
      <c r="E453">
        <v>0</v>
      </c>
      <c r="H453">
        <v>0</v>
      </c>
      <c r="I453">
        <v>213.096837</v>
      </c>
      <c r="J453">
        <v>10.03280776365348</v>
      </c>
      <c r="K453">
        <v>0</v>
      </c>
      <c r="L453">
        <v>1.237714080782319</v>
      </c>
      <c r="M453">
        <v>17.25</v>
      </c>
      <c r="N453">
        <v>6.8</v>
      </c>
    </row>
    <row r="454" spans="1:14">
      <c r="A454" s="1" t="s">
        <v>466</v>
      </c>
      <c r="B454">
        <f>HYPERLINK("https://www.suredividend.com/sure-analysis-research-database/","Deluxe Corp.")</f>
        <v>0</v>
      </c>
      <c r="C454" t="s">
        <v>1931</v>
      </c>
      <c r="D454">
        <v>16.57</v>
      </c>
      <c r="E454">
        <v>0.071130445875924</v>
      </c>
      <c r="F454">
        <v>0</v>
      </c>
      <c r="G454">
        <v>0</v>
      </c>
      <c r="H454">
        <v>1.178631488164062</v>
      </c>
      <c r="I454">
        <v>713.923587</v>
      </c>
      <c r="J454">
        <v>12.33561272915767</v>
      </c>
      <c r="K454">
        <v>0.8795757374358671</v>
      </c>
      <c r="L454">
        <v>0.860213344999268</v>
      </c>
      <c r="M454">
        <v>37.09</v>
      </c>
      <c r="N454">
        <v>16.13</v>
      </c>
    </row>
    <row r="455" spans="1:14">
      <c r="A455" s="1" t="s">
        <v>467</v>
      </c>
      <c r="B455">
        <f>HYPERLINK("https://www.suredividend.com/sure-analysis-research-database/","Desktop Metal Inc")</f>
        <v>0</v>
      </c>
      <c r="C455" t="s">
        <v>1921</v>
      </c>
      <c r="D455">
        <v>2.44</v>
      </c>
      <c r="E455">
        <v>0</v>
      </c>
      <c r="H455">
        <v>0</v>
      </c>
      <c r="I455">
        <v>769.9914</v>
      </c>
      <c r="J455">
        <v>0</v>
      </c>
      <c r="K455" t="s">
        <v>1921</v>
      </c>
      <c r="L455">
        <v>2.137728898037509</v>
      </c>
      <c r="M455">
        <v>9.69</v>
      </c>
      <c r="N455">
        <v>1.26</v>
      </c>
    </row>
    <row r="456" spans="1:14">
      <c r="A456" s="1" t="s">
        <v>468</v>
      </c>
      <c r="B456">
        <f>HYPERLINK("https://www.suredividend.com/sure-analysis-research-database/","Digimarc Corporation")</f>
        <v>0</v>
      </c>
      <c r="C456" t="s">
        <v>1920</v>
      </c>
      <c r="D456">
        <v>13.14</v>
      </c>
      <c r="E456">
        <v>0</v>
      </c>
      <c r="H456">
        <v>0</v>
      </c>
      <c r="I456">
        <v>262.415537</v>
      </c>
      <c r="J456" t="s">
        <v>1921</v>
      </c>
      <c r="K456">
        <v>-0</v>
      </c>
      <c r="L456">
        <v>1.602903463786137</v>
      </c>
      <c r="M456">
        <v>53.74</v>
      </c>
      <c r="N456">
        <v>12.9</v>
      </c>
    </row>
    <row r="457" spans="1:14">
      <c r="A457" s="1" t="s">
        <v>469</v>
      </c>
      <c r="B457">
        <f>HYPERLINK("https://www.suredividend.com/sure-analysis-research-database/","Digital Media Solutions Inc")</f>
        <v>0</v>
      </c>
      <c r="C457" t="s">
        <v>1921</v>
      </c>
      <c r="D457">
        <v>2</v>
      </c>
      <c r="E457">
        <v>0</v>
      </c>
      <c r="H457">
        <v>0</v>
      </c>
      <c r="I457">
        <v>79.672228</v>
      </c>
      <c r="J457">
        <v>0</v>
      </c>
      <c r="K457" t="s">
        <v>1921</v>
      </c>
      <c r="L457">
        <v>1.517891114219547</v>
      </c>
      <c r="M457">
        <v>7.28</v>
      </c>
      <c r="N457">
        <v>1.05</v>
      </c>
    </row>
    <row r="458" spans="1:14">
      <c r="A458" s="1" t="s">
        <v>470</v>
      </c>
      <c r="B458">
        <f>HYPERLINK("https://www.suredividend.com/sure-analysis-research-database/","DermTech Inc")</f>
        <v>0</v>
      </c>
      <c r="C458" t="s">
        <v>1922</v>
      </c>
      <c r="D458">
        <v>3.56</v>
      </c>
      <c r="E458">
        <v>0</v>
      </c>
      <c r="H458">
        <v>0</v>
      </c>
      <c r="I458">
        <v>106.942208</v>
      </c>
      <c r="J458">
        <v>0</v>
      </c>
      <c r="K458" t="s">
        <v>1921</v>
      </c>
      <c r="L458">
        <v>2.405404091175826</v>
      </c>
      <c r="M458">
        <v>33.27</v>
      </c>
      <c r="N458">
        <v>3.4</v>
      </c>
    </row>
    <row r="459" spans="1:14">
      <c r="A459" s="1" t="s">
        <v>471</v>
      </c>
      <c r="B459">
        <f>HYPERLINK("https://www.suredividend.com/sure-analysis-research-database/","Codex DNA Inc")</f>
        <v>0</v>
      </c>
      <c r="C459" t="s">
        <v>1921</v>
      </c>
      <c r="D459">
        <v>1.64</v>
      </c>
      <c r="E459">
        <v>0</v>
      </c>
      <c r="H459">
        <v>0</v>
      </c>
      <c r="I459">
        <v>48.409841</v>
      </c>
      <c r="J459">
        <v>0</v>
      </c>
      <c r="K459" t="s">
        <v>1921</v>
      </c>
      <c r="L459">
        <v>1.541682068203177</v>
      </c>
      <c r="M459">
        <v>11.63</v>
      </c>
      <c r="N459">
        <v>1.55</v>
      </c>
    </row>
    <row r="460" spans="1:14">
      <c r="A460" s="1" t="s">
        <v>472</v>
      </c>
      <c r="B460">
        <f>HYPERLINK("https://www.suredividend.com/sure-analysis-research-database/","Denali Therapeutics Inc")</f>
        <v>0</v>
      </c>
      <c r="C460" t="s">
        <v>1922</v>
      </c>
      <c r="D460">
        <v>30.67</v>
      </c>
      <c r="E460">
        <v>0</v>
      </c>
      <c r="H460">
        <v>0</v>
      </c>
      <c r="I460">
        <v>3783.088313</v>
      </c>
      <c r="J460" t="s">
        <v>1921</v>
      </c>
      <c r="K460">
        <v>-0</v>
      </c>
      <c r="L460">
        <v>1.602816896630808</v>
      </c>
      <c r="M460">
        <v>56.08</v>
      </c>
      <c r="N460">
        <v>20.24</v>
      </c>
    </row>
    <row r="461" spans="1:14">
      <c r="A461" s="1" t="s">
        <v>473</v>
      </c>
      <c r="B461">
        <f>HYPERLINK("https://www.suredividend.com/sure-analysis-research-database/","Danimer Scientific Inc")</f>
        <v>0</v>
      </c>
      <c r="C461" t="s">
        <v>1921</v>
      </c>
      <c r="D461">
        <v>2.51</v>
      </c>
      <c r="E461">
        <v>0</v>
      </c>
      <c r="H461">
        <v>0</v>
      </c>
      <c r="I461">
        <v>253.938291</v>
      </c>
      <c r="J461">
        <v>0</v>
      </c>
      <c r="K461" t="s">
        <v>1921</v>
      </c>
      <c r="L461">
        <v>2.553883011794113</v>
      </c>
      <c r="M461">
        <v>20.4</v>
      </c>
      <c r="N461">
        <v>2.46</v>
      </c>
    </row>
    <row r="462" spans="1:14">
      <c r="A462" s="1" t="s">
        <v>474</v>
      </c>
      <c r="B462">
        <f>HYPERLINK("https://www.suredividend.com/sure-analysis-research-database/","NOW Inc")</f>
        <v>0</v>
      </c>
      <c r="C462" t="s">
        <v>1926</v>
      </c>
      <c r="D462">
        <v>10.75</v>
      </c>
      <c r="E462">
        <v>0</v>
      </c>
      <c r="H462">
        <v>0</v>
      </c>
      <c r="I462">
        <v>1190.116526</v>
      </c>
      <c r="J462">
        <v>16.30296610273973</v>
      </c>
      <c r="K462">
        <v>0</v>
      </c>
      <c r="L462">
        <v>0.921413162380569</v>
      </c>
      <c r="M462">
        <v>13.4</v>
      </c>
      <c r="N462">
        <v>7</v>
      </c>
    </row>
    <row r="463" spans="1:14">
      <c r="A463" s="1" t="s">
        <v>475</v>
      </c>
      <c r="B463">
        <f>HYPERLINK("https://www.suredividend.com/sure-analysis-research-database/","Krispy Kreme Inc")</f>
        <v>0</v>
      </c>
      <c r="C463" t="s">
        <v>1921</v>
      </c>
      <c r="D463">
        <v>12.59</v>
      </c>
      <c r="E463">
        <v>0.011080073225356</v>
      </c>
      <c r="H463">
        <v>0.139498121907233</v>
      </c>
      <c r="I463">
        <v>2107.922322</v>
      </c>
      <c r="J463" t="s">
        <v>1921</v>
      </c>
      <c r="K463" t="s">
        <v>1921</v>
      </c>
      <c r="L463">
        <v>0.970759299142084</v>
      </c>
      <c r="M463">
        <v>19.41</v>
      </c>
      <c r="N463">
        <v>11.25</v>
      </c>
    </row>
    <row r="464" spans="1:14">
      <c r="A464" s="1" t="s">
        <v>476</v>
      </c>
      <c r="B464">
        <f>HYPERLINK("https://www.suredividend.com/sure-analysis-DOC/","Physicians Realty Trust")</f>
        <v>0</v>
      </c>
      <c r="C464" t="s">
        <v>1929</v>
      </c>
      <c r="D464">
        <v>13.71</v>
      </c>
      <c r="E464">
        <v>0.06710430342815463</v>
      </c>
      <c r="F464">
        <v>0</v>
      </c>
      <c r="G464">
        <v>0</v>
      </c>
      <c r="H464">
        <v>0.900642062953355</v>
      </c>
      <c r="I464">
        <v>3102.85825</v>
      </c>
      <c r="J464">
        <v>39.45598670235628</v>
      </c>
      <c r="K464">
        <v>2.661471817238047</v>
      </c>
      <c r="L464">
        <v>0.468221340756695</v>
      </c>
      <c r="M464">
        <v>18.34</v>
      </c>
      <c r="N464">
        <v>13.7</v>
      </c>
    </row>
    <row r="465" spans="1:14">
      <c r="A465" s="1" t="s">
        <v>477</v>
      </c>
      <c r="B465">
        <f>HYPERLINK("https://www.suredividend.com/sure-analysis-research-database/","DigitalOcean Holdings Inc")</f>
        <v>0</v>
      </c>
      <c r="C465" t="s">
        <v>1921</v>
      </c>
      <c r="D465">
        <v>35.52</v>
      </c>
      <c r="E465">
        <v>0</v>
      </c>
      <c r="H465">
        <v>0</v>
      </c>
      <c r="I465">
        <v>3442.96486</v>
      </c>
      <c r="J465">
        <v>0</v>
      </c>
      <c r="K465" t="s">
        <v>1921</v>
      </c>
      <c r="L465">
        <v>2.512638652550503</v>
      </c>
      <c r="M465">
        <v>133.4</v>
      </c>
      <c r="N465">
        <v>30.05</v>
      </c>
    </row>
    <row r="466" spans="1:14">
      <c r="A466" s="1" t="s">
        <v>478</v>
      </c>
      <c r="B466">
        <f>HYPERLINK("https://www.suredividend.com/sure-analysis-research-database/","Domo Inc.")</f>
        <v>0</v>
      </c>
      <c r="C466" t="s">
        <v>1920</v>
      </c>
      <c r="D466">
        <v>15.44</v>
      </c>
      <c r="E466">
        <v>0</v>
      </c>
      <c r="H466">
        <v>0</v>
      </c>
      <c r="I466">
        <v>478.674524</v>
      </c>
      <c r="J466" t="s">
        <v>1921</v>
      </c>
      <c r="K466">
        <v>-0</v>
      </c>
      <c r="L466">
        <v>2.446708709180888</v>
      </c>
      <c r="M466">
        <v>95.5</v>
      </c>
      <c r="N466">
        <v>15.4</v>
      </c>
    </row>
    <row r="467" spans="1:14">
      <c r="A467" s="1" t="s">
        <v>479</v>
      </c>
      <c r="B467">
        <f>HYPERLINK("https://www.suredividend.com/sure-analysis-research-database/","Masonite International Corp")</f>
        <v>0</v>
      </c>
      <c r="C467" t="s">
        <v>1924</v>
      </c>
      <c r="D467">
        <v>73.84</v>
      </c>
      <c r="E467">
        <v>0</v>
      </c>
      <c r="H467">
        <v>0</v>
      </c>
      <c r="I467">
        <v>1644.290755</v>
      </c>
      <c r="J467">
        <v>11.86605245772925</v>
      </c>
      <c r="K467">
        <v>0</v>
      </c>
      <c r="L467">
        <v>1.213040953754992</v>
      </c>
      <c r="M467">
        <v>128.87</v>
      </c>
      <c r="N467">
        <v>66.34</v>
      </c>
    </row>
    <row r="468" spans="1:14">
      <c r="A468" s="1" t="s">
        <v>480</v>
      </c>
      <c r="B468">
        <f>HYPERLINK("https://www.suredividend.com/sure-analysis-research-database/","Dorman Products Inc")</f>
        <v>0</v>
      </c>
      <c r="C468" t="s">
        <v>1927</v>
      </c>
      <c r="D468">
        <v>88.31999999999999</v>
      </c>
      <c r="E468">
        <v>0</v>
      </c>
      <c r="H468">
        <v>0</v>
      </c>
      <c r="I468">
        <v>2776.06585</v>
      </c>
      <c r="J468">
        <v>19.78720597593659</v>
      </c>
      <c r="K468">
        <v>0</v>
      </c>
      <c r="L468">
        <v>0.628239008661566</v>
      </c>
      <c r="M468">
        <v>122.96</v>
      </c>
      <c r="N468">
        <v>81.81</v>
      </c>
    </row>
    <row r="469" spans="1:14">
      <c r="A469" s="1" t="s">
        <v>481</v>
      </c>
      <c r="B469">
        <f>HYPERLINK("https://www.suredividend.com/sure-analysis-research-database/","Douglas Elliman Inc")</f>
        <v>0</v>
      </c>
      <c r="C469" t="s">
        <v>1921</v>
      </c>
      <c r="D469">
        <v>4.01</v>
      </c>
      <c r="E469">
        <v>0.03701115077098301</v>
      </c>
      <c r="H469">
        <v>0.148414714591644</v>
      </c>
      <c r="I469">
        <v>325.91526</v>
      </c>
      <c r="J469">
        <v>0</v>
      </c>
      <c r="K469" t="s">
        <v>1921</v>
      </c>
      <c r="M469">
        <v>11.73</v>
      </c>
      <c r="N469">
        <v>3.83</v>
      </c>
    </row>
    <row r="470" spans="1:14">
      <c r="A470" s="1" t="s">
        <v>482</v>
      </c>
      <c r="B470">
        <f>HYPERLINK("https://www.suredividend.com/sure-analysis-research-database/","Diamondrock Hospitality Co.")</f>
        <v>0</v>
      </c>
      <c r="C470" t="s">
        <v>1929</v>
      </c>
      <c r="D470">
        <v>7.82</v>
      </c>
      <c r="E470">
        <v>0.003836317049801</v>
      </c>
      <c r="H470">
        <v>0.029999999329447</v>
      </c>
      <c r="I470">
        <v>1649.417977</v>
      </c>
      <c r="J470">
        <v>36.19525954136493</v>
      </c>
      <c r="K470">
        <v>0.1401214354481411</v>
      </c>
      <c r="L470">
        <v>1.355430459460895</v>
      </c>
      <c r="M470">
        <v>11.1</v>
      </c>
      <c r="N470">
        <v>7.18</v>
      </c>
    </row>
    <row r="471" spans="1:14">
      <c r="A471" s="1" t="s">
        <v>483</v>
      </c>
      <c r="B471">
        <f>HYPERLINK("https://www.suredividend.com/sure-analysis-research-database/","DarioHealth Corp")</f>
        <v>0</v>
      </c>
      <c r="C471" t="s">
        <v>1922</v>
      </c>
      <c r="D471">
        <v>5.27</v>
      </c>
      <c r="E471">
        <v>0</v>
      </c>
      <c r="H471">
        <v>0</v>
      </c>
      <c r="I471">
        <v>121.10001</v>
      </c>
      <c r="J471">
        <v>0</v>
      </c>
      <c r="K471" t="s">
        <v>1921</v>
      </c>
      <c r="L471">
        <v>1.431326179480852</v>
      </c>
      <c r="M471">
        <v>19.39</v>
      </c>
      <c r="N471">
        <v>3.66</v>
      </c>
    </row>
    <row r="472" spans="1:14">
      <c r="A472" s="1" t="s">
        <v>484</v>
      </c>
      <c r="B472">
        <f>HYPERLINK("https://www.suredividend.com/sure-analysis-research-database/","Dril-Quip, Inc.")</f>
        <v>0</v>
      </c>
      <c r="C472" t="s">
        <v>1926</v>
      </c>
      <c r="D472">
        <v>21.41</v>
      </c>
      <c r="E472">
        <v>0</v>
      </c>
      <c r="H472">
        <v>0</v>
      </c>
      <c r="I472">
        <v>735.945392</v>
      </c>
      <c r="J472" t="s">
        <v>1921</v>
      </c>
      <c r="K472">
        <v>-0</v>
      </c>
      <c r="L472">
        <v>0.676156780751323</v>
      </c>
      <c r="M472">
        <v>41.23</v>
      </c>
      <c r="N472">
        <v>18.17</v>
      </c>
    </row>
    <row r="473" spans="1:14">
      <c r="A473" s="1" t="s">
        <v>485</v>
      </c>
      <c r="B473">
        <f>HYPERLINK("https://www.suredividend.com/sure-analysis-research-database/","Durect Corp")</f>
        <v>0</v>
      </c>
      <c r="C473" t="s">
        <v>1922</v>
      </c>
      <c r="D473">
        <v>0.526</v>
      </c>
      <c r="E473">
        <v>0</v>
      </c>
      <c r="H473">
        <v>0</v>
      </c>
      <c r="I473">
        <v>119.803874</v>
      </c>
      <c r="J473" t="s">
        <v>1921</v>
      </c>
      <c r="K473">
        <v>-0</v>
      </c>
      <c r="L473">
        <v>0.9202092145303201</v>
      </c>
      <c r="M473">
        <v>1.32</v>
      </c>
      <c r="N473">
        <v>0.3601</v>
      </c>
    </row>
    <row r="474" spans="1:14">
      <c r="A474" s="1" t="s">
        <v>486</v>
      </c>
      <c r="B474">
        <f>HYPERLINK("https://www.suredividend.com/sure-analysis-research-database/","Drive Shack Inc")</f>
        <v>0</v>
      </c>
      <c r="C474" t="s">
        <v>1927</v>
      </c>
      <c r="D474">
        <v>0.55</v>
      </c>
      <c r="E474">
        <v>0</v>
      </c>
      <c r="H474">
        <v>0</v>
      </c>
      <c r="I474">
        <v>50.81176</v>
      </c>
      <c r="J474" t="s">
        <v>1921</v>
      </c>
      <c r="K474">
        <v>-0</v>
      </c>
      <c r="L474">
        <v>1.828187009600704</v>
      </c>
      <c r="M474">
        <v>2.9</v>
      </c>
      <c r="N474">
        <v>0.5148</v>
      </c>
    </row>
    <row r="475" spans="1:14">
      <c r="A475" s="1" t="s">
        <v>487</v>
      </c>
      <c r="B475">
        <f>HYPERLINK("https://www.suredividend.com/sure-analysis-research-database/","Design Therapeutics Inc")</f>
        <v>0</v>
      </c>
      <c r="C475" t="s">
        <v>1921</v>
      </c>
      <c r="D475">
        <v>15.48</v>
      </c>
      <c r="E475">
        <v>0</v>
      </c>
      <c r="H475">
        <v>0</v>
      </c>
      <c r="I475">
        <v>863.906834</v>
      </c>
      <c r="J475">
        <v>0</v>
      </c>
      <c r="K475" t="s">
        <v>1921</v>
      </c>
      <c r="L475">
        <v>1.903941900201348</v>
      </c>
      <c r="M475">
        <v>26.3</v>
      </c>
      <c r="N475">
        <v>9.609999999999999</v>
      </c>
    </row>
    <row r="476" spans="1:14">
      <c r="A476" s="1" t="s">
        <v>488</v>
      </c>
      <c r="B476">
        <f>HYPERLINK("https://www.suredividend.com/sure-analysis-research-database/","Daseke Inc")</f>
        <v>0</v>
      </c>
      <c r="C476" t="s">
        <v>1924</v>
      </c>
      <c r="D476">
        <v>6.11</v>
      </c>
      <c r="E476">
        <v>0</v>
      </c>
      <c r="H476">
        <v>0</v>
      </c>
      <c r="I476">
        <v>388.016735</v>
      </c>
      <c r="J476">
        <v>7.252649258691589</v>
      </c>
      <c r="K476">
        <v>0</v>
      </c>
      <c r="L476">
        <v>1.377836718344154</v>
      </c>
      <c r="M476">
        <v>13.17</v>
      </c>
      <c r="N476">
        <v>4.69</v>
      </c>
    </row>
    <row r="477" spans="1:14">
      <c r="A477" s="1" t="s">
        <v>489</v>
      </c>
      <c r="B477">
        <f>HYPERLINK("https://www.suredividend.com/sure-analysis-research-database/","Viant Technology Inc")</f>
        <v>0</v>
      </c>
      <c r="C477" t="s">
        <v>1921</v>
      </c>
      <c r="D477">
        <v>4.29</v>
      </c>
      <c r="E477">
        <v>0</v>
      </c>
      <c r="H477">
        <v>0</v>
      </c>
      <c r="I477">
        <v>61.148802</v>
      </c>
      <c r="J477">
        <v>0</v>
      </c>
      <c r="K477" t="s">
        <v>1921</v>
      </c>
      <c r="L477">
        <v>1.309006567396766</v>
      </c>
      <c r="M477">
        <v>13.93</v>
      </c>
      <c r="N477">
        <v>4.09</v>
      </c>
    </row>
    <row r="478" spans="1:14">
      <c r="A478" s="1" t="s">
        <v>490</v>
      </c>
      <c r="B478">
        <f>HYPERLINK("https://www.suredividend.com/sure-analysis-research-database/","Solo Brands Inc")</f>
        <v>0</v>
      </c>
      <c r="C478" t="s">
        <v>1921</v>
      </c>
      <c r="D478">
        <v>3.83</v>
      </c>
      <c r="E478">
        <v>0</v>
      </c>
      <c r="H478">
        <v>0</v>
      </c>
      <c r="I478">
        <v>243.101019</v>
      </c>
      <c r="J478">
        <v>0</v>
      </c>
      <c r="K478" t="s">
        <v>1921</v>
      </c>
      <c r="M478">
        <v>23.39</v>
      </c>
      <c r="N478">
        <v>3.66</v>
      </c>
    </row>
    <row r="479" spans="1:14">
      <c r="A479" s="1" t="s">
        <v>491</v>
      </c>
      <c r="B479">
        <f>HYPERLINK("https://www.suredividend.com/sure-analysis-research-database/","Precision Biosciences Inc")</f>
        <v>0</v>
      </c>
      <c r="C479" t="s">
        <v>1922</v>
      </c>
      <c r="D479">
        <v>1.33</v>
      </c>
      <c r="E479">
        <v>0</v>
      </c>
      <c r="H479">
        <v>0</v>
      </c>
      <c r="I479">
        <v>147.387951</v>
      </c>
      <c r="J479">
        <v>0</v>
      </c>
      <c r="K479" t="s">
        <v>1921</v>
      </c>
      <c r="L479">
        <v>2.023764953248545</v>
      </c>
      <c r="M479">
        <v>11.02</v>
      </c>
      <c r="N479">
        <v>1.11</v>
      </c>
    </row>
    <row r="480" spans="1:14">
      <c r="A480" s="1" t="s">
        <v>492</v>
      </c>
      <c r="B480">
        <f>HYPERLINK("https://www.suredividend.com/sure-analysis-research-database/","Dynavax Technologies Corp.")</f>
        <v>0</v>
      </c>
      <c r="C480" t="s">
        <v>1922</v>
      </c>
      <c r="D480">
        <v>11.07</v>
      </c>
      <c r="E480">
        <v>0</v>
      </c>
      <c r="H480">
        <v>0</v>
      </c>
      <c r="I480">
        <v>1400.062597</v>
      </c>
      <c r="J480">
        <v>6.122740578048332</v>
      </c>
      <c r="K480">
        <v>0</v>
      </c>
      <c r="L480">
        <v>1.395606881492942</v>
      </c>
      <c r="M480">
        <v>21.39</v>
      </c>
      <c r="N480">
        <v>7.26</v>
      </c>
    </row>
    <row r="481" spans="1:14">
      <c r="A481" s="1" t="s">
        <v>493</v>
      </c>
      <c r="B481">
        <f>HYPERLINK("https://www.suredividend.com/sure-analysis-DX/","Dynex Capital, Inc.")</f>
        <v>0</v>
      </c>
      <c r="C481" t="s">
        <v>1929</v>
      </c>
      <c r="D481">
        <v>11.24</v>
      </c>
      <c r="E481">
        <v>0.1387900355871886</v>
      </c>
      <c r="F481">
        <v>0</v>
      </c>
      <c r="G481">
        <v>0</v>
      </c>
      <c r="H481">
        <v>1.491232134243479</v>
      </c>
      <c r="I481">
        <v>500.372665</v>
      </c>
      <c r="J481">
        <v>2.997266521147937</v>
      </c>
      <c r="K481">
        <v>0.332864315679348</v>
      </c>
      <c r="L481">
        <v>0.6650769371366381</v>
      </c>
      <c r="M481">
        <v>16.77</v>
      </c>
      <c r="N481">
        <v>11.21</v>
      </c>
    </row>
    <row r="482" spans="1:14">
      <c r="A482" s="1" t="s">
        <v>494</v>
      </c>
      <c r="B482">
        <f>HYPERLINK("https://www.suredividend.com/sure-analysis-research-database/","DXP Enterprises, Inc.")</f>
        <v>0</v>
      </c>
      <c r="C482" t="s">
        <v>1924</v>
      </c>
      <c r="D482">
        <v>25.14</v>
      </c>
      <c r="E482">
        <v>0</v>
      </c>
      <c r="H482">
        <v>0</v>
      </c>
      <c r="I482">
        <v>473.806516</v>
      </c>
      <c r="J482">
        <v>13.54081094167072</v>
      </c>
      <c r="K482">
        <v>0</v>
      </c>
      <c r="L482">
        <v>0.6626380357906271</v>
      </c>
      <c r="M482">
        <v>36.26</v>
      </c>
      <c r="N482">
        <v>22.09</v>
      </c>
    </row>
    <row r="483" spans="1:14">
      <c r="A483" s="1" t="s">
        <v>495</v>
      </c>
      <c r="B483">
        <f>HYPERLINK("https://www.suredividend.com/sure-analysis-research-database/","Dycom Industries, Inc.")</f>
        <v>0</v>
      </c>
      <c r="C483" t="s">
        <v>1924</v>
      </c>
      <c r="D483">
        <v>97.93000000000001</v>
      </c>
      <c r="E483">
        <v>0</v>
      </c>
      <c r="H483">
        <v>0</v>
      </c>
      <c r="I483">
        <v>2884.810286</v>
      </c>
      <c r="J483">
        <v>31.05185286083334</v>
      </c>
      <c r="K483">
        <v>0</v>
      </c>
      <c r="L483">
        <v>1.107875818320267</v>
      </c>
      <c r="M483">
        <v>120.45</v>
      </c>
      <c r="N483">
        <v>67.93000000000001</v>
      </c>
    </row>
    <row r="484" spans="1:14">
      <c r="A484" s="1" t="s">
        <v>496</v>
      </c>
      <c r="B484">
        <f>HYPERLINK("https://www.suredividend.com/sure-analysis-research-database/","Dyne Therapeutics Inc")</f>
        <v>0</v>
      </c>
      <c r="C484" t="s">
        <v>1921</v>
      </c>
      <c r="D484">
        <v>12.63</v>
      </c>
      <c r="E484">
        <v>0</v>
      </c>
      <c r="H484">
        <v>0</v>
      </c>
      <c r="I484">
        <v>653.796623</v>
      </c>
      <c r="J484">
        <v>0</v>
      </c>
      <c r="K484" t="s">
        <v>1921</v>
      </c>
      <c r="L484">
        <v>1.685373143468988</v>
      </c>
      <c r="M484">
        <v>16.39</v>
      </c>
      <c r="N484">
        <v>4.3</v>
      </c>
    </row>
    <row r="485" spans="1:14">
      <c r="A485" s="1" t="s">
        <v>497</v>
      </c>
      <c r="B485">
        <f>HYPERLINK("https://www.suredividend.com/sure-analysis-research-database/","DZS Inc")</f>
        <v>0</v>
      </c>
      <c r="C485" t="s">
        <v>1920</v>
      </c>
      <c r="D485">
        <v>11.84</v>
      </c>
      <c r="E485">
        <v>0</v>
      </c>
      <c r="H485">
        <v>0</v>
      </c>
      <c r="I485">
        <v>330.262556</v>
      </c>
      <c r="J485" t="s">
        <v>1921</v>
      </c>
      <c r="K485">
        <v>-0</v>
      </c>
      <c r="L485">
        <v>1.11464597481449</v>
      </c>
      <c r="M485">
        <v>19.95</v>
      </c>
      <c r="N485">
        <v>10.59</v>
      </c>
    </row>
    <row r="486" spans="1:14">
      <c r="A486" s="1" t="s">
        <v>498</v>
      </c>
      <c r="B486">
        <f>HYPERLINK("https://www.suredividend.com/sure-analysis-EAF/","GrafTech International Ltd.")</f>
        <v>0</v>
      </c>
      <c r="C486" t="s">
        <v>1924</v>
      </c>
      <c r="D486">
        <v>4.23</v>
      </c>
      <c r="E486">
        <v>0.009437093492543</v>
      </c>
      <c r="H486">
        <v>0.03991890547346</v>
      </c>
      <c r="I486">
        <v>1100.747237</v>
      </c>
      <c r="J486">
        <v>2.199093063554598</v>
      </c>
      <c r="K486">
        <v>0.02100995024918948</v>
      </c>
      <c r="L486">
        <v>1.188920830161772</v>
      </c>
      <c r="M486">
        <v>13.31</v>
      </c>
      <c r="N486">
        <v>4.07</v>
      </c>
    </row>
    <row r="487" spans="1:14">
      <c r="A487" s="1" t="s">
        <v>499</v>
      </c>
      <c r="B487">
        <f>HYPERLINK("https://www.suredividend.com/sure-analysis-research-database/","Eargo Inc")</f>
        <v>0</v>
      </c>
      <c r="C487" t="s">
        <v>1921</v>
      </c>
      <c r="D487">
        <v>0.709</v>
      </c>
      <c r="E487">
        <v>0</v>
      </c>
      <c r="H487">
        <v>0</v>
      </c>
      <c r="I487">
        <v>27.94239</v>
      </c>
      <c r="J487">
        <v>0</v>
      </c>
      <c r="K487" t="s">
        <v>1921</v>
      </c>
      <c r="L487">
        <v>2.296621708538595</v>
      </c>
      <c r="M487">
        <v>10.63</v>
      </c>
      <c r="N487">
        <v>0.6701</v>
      </c>
    </row>
    <row r="488" spans="1:14">
      <c r="A488" s="1" t="s">
        <v>500</v>
      </c>
      <c r="B488">
        <f>HYPERLINK("https://www.suredividend.com/sure-analysis-research-database/","Brinker International, Inc.")</f>
        <v>0</v>
      </c>
      <c r="C488" t="s">
        <v>1927</v>
      </c>
      <c r="D488">
        <v>25.07</v>
      </c>
      <c r="E488">
        <v>0</v>
      </c>
      <c r="H488">
        <v>0</v>
      </c>
      <c r="I488">
        <v>1103.81064</v>
      </c>
      <c r="J488">
        <v>9.386144898639456</v>
      </c>
      <c r="K488">
        <v>0</v>
      </c>
      <c r="L488">
        <v>1.463476800942562</v>
      </c>
      <c r="M488">
        <v>50.81</v>
      </c>
      <c r="N488">
        <v>21.47</v>
      </c>
    </row>
    <row r="489" spans="1:14">
      <c r="A489" s="1" t="s">
        <v>501</v>
      </c>
      <c r="B489">
        <f>HYPERLINK("https://www.suredividend.com/sure-analysis-research-database/","Eventbrite Inc")</f>
        <v>0</v>
      </c>
      <c r="C489" t="s">
        <v>1920</v>
      </c>
      <c r="D489">
        <v>6.08</v>
      </c>
      <c r="E489">
        <v>0</v>
      </c>
      <c r="H489">
        <v>0</v>
      </c>
      <c r="I489">
        <v>490.079884</v>
      </c>
      <c r="J489" t="s">
        <v>1921</v>
      </c>
      <c r="K489">
        <v>-0</v>
      </c>
      <c r="L489">
        <v>1.71010100813325</v>
      </c>
      <c r="M489">
        <v>22.52</v>
      </c>
      <c r="N489">
        <v>5.92</v>
      </c>
    </row>
    <row r="490" spans="1:14">
      <c r="A490" s="1" t="s">
        <v>502</v>
      </c>
      <c r="B490">
        <f>HYPERLINK("https://www.suredividend.com/sure-analysis-research-database/","Eastern Bankshares Inc.")</f>
        <v>0</v>
      </c>
      <c r="C490" t="s">
        <v>1921</v>
      </c>
      <c r="D490">
        <v>20.12</v>
      </c>
      <c r="E490">
        <v>0.018749926649591</v>
      </c>
      <c r="H490">
        <v>0.37724852418977</v>
      </c>
      <c r="I490">
        <v>3588.281602</v>
      </c>
      <c r="J490">
        <v>0</v>
      </c>
      <c r="K490" t="s">
        <v>1921</v>
      </c>
      <c r="L490">
        <v>0.676850885470017</v>
      </c>
      <c r="M490">
        <v>22.12</v>
      </c>
      <c r="N490">
        <v>17.89</v>
      </c>
    </row>
    <row r="491" spans="1:14">
      <c r="A491" s="1" t="s">
        <v>503</v>
      </c>
      <c r="B491">
        <f>HYPERLINK("https://www.suredividend.com/sure-analysis-research-database/","EBET Inc")</f>
        <v>0</v>
      </c>
      <c r="C491" t="s">
        <v>1921</v>
      </c>
      <c r="D491">
        <v>0.9551000000000001</v>
      </c>
      <c r="E491">
        <v>0</v>
      </c>
      <c r="H491">
        <v>0</v>
      </c>
      <c r="I491">
        <v>15.637808</v>
      </c>
      <c r="J491">
        <v>0</v>
      </c>
      <c r="K491" t="s">
        <v>1921</v>
      </c>
      <c r="L491">
        <v>1.817279916574872</v>
      </c>
      <c r="M491">
        <v>33.46</v>
      </c>
      <c r="N491">
        <v>0.9500000000000001</v>
      </c>
    </row>
    <row r="492" spans="1:14">
      <c r="A492" s="1" t="s">
        <v>504</v>
      </c>
      <c r="B492">
        <f>HYPERLINK("https://www.suredividend.com/sure-analysis-research-database/","Ennis Inc.")</f>
        <v>0</v>
      </c>
      <c r="C492" t="s">
        <v>1924</v>
      </c>
      <c r="D492">
        <v>20.24</v>
      </c>
      <c r="E492">
        <v>0.04849744971218</v>
      </c>
      <c r="F492">
        <v>0</v>
      </c>
      <c r="G492">
        <v>0.2011244339814313</v>
      </c>
      <c r="H492">
        <v>0.98158838217453</v>
      </c>
      <c r="I492">
        <v>522.928574</v>
      </c>
      <c r="J492">
        <v>13.74716932832093</v>
      </c>
      <c r="K492">
        <v>0.6723208097085822</v>
      </c>
      <c r="L492">
        <v>0.47078080092029</v>
      </c>
      <c r="M492">
        <v>22.4</v>
      </c>
      <c r="N492">
        <v>16.15</v>
      </c>
    </row>
    <row r="493" spans="1:14">
      <c r="A493" s="1" t="s">
        <v>505</v>
      </c>
      <c r="B493">
        <f>HYPERLINK("https://www.suredividend.com/sure-analysis-research-database/","Ebix Inc.")</f>
        <v>0</v>
      </c>
      <c r="C493" t="s">
        <v>1920</v>
      </c>
      <c r="D493">
        <v>18.33</v>
      </c>
      <c r="E493">
        <v>0.016299827424791</v>
      </c>
      <c r="F493">
        <v>0</v>
      </c>
      <c r="G493">
        <v>0</v>
      </c>
      <c r="H493">
        <v>0.298775836696425</v>
      </c>
      <c r="I493">
        <v>566.507402</v>
      </c>
      <c r="J493">
        <v>8.161754813283387</v>
      </c>
      <c r="K493">
        <v>0.1322016976532854</v>
      </c>
      <c r="L493">
        <v>2.047422437326895</v>
      </c>
      <c r="M493">
        <v>44.18</v>
      </c>
      <c r="N493">
        <v>12.46</v>
      </c>
    </row>
    <row r="494" spans="1:14">
      <c r="A494" s="1" t="s">
        <v>506</v>
      </c>
      <c r="B494">
        <f>HYPERLINK("https://www.suredividend.com/sure-analysis-research-database/","Emergent Biosolutions Inc")</f>
        <v>0</v>
      </c>
      <c r="C494" t="s">
        <v>1922</v>
      </c>
      <c r="D494">
        <v>19.68</v>
      </c>
      <c r="E494">
        <v>0</v>
      </c>
      <c r="H494">
        <v>0</v>
      </c>
      <c r="I494">
        <v>981.274497</v>
      </c>
      <c r="J494">
        <v>10.16864763854922</v>
      </c>
      <c r="K494">
        <v>0</v>
      </c>
      <c r="L494">
        <v>1.11836691841797</v>
      </c>
      <c r="M494">
        <v>52.76</v>
      </c>
      <c r="N494">
        <v>19.4</v>
      </c>
    </row>
    <row r="495" spans="1:14">
      <c r="A495" s="1" t="s">
        <v>507</v>
      </c>
      <c r="B495">
        <f>HYPERLINK("https://www.suredividend.com/sure-analysis-EBTC/","Enterprise Bancorp, Inc.")</f>
        <v>0</v>
      </c>
      <c r="C495" t="s">
        <v>1923</v>
      </c>
      <c r="D495">
        <v>29.46</v>
      </c>
      <c r="E495">
        <v>0.02783435166327223</v>
      </c>
      <c r="H495">
        <v>0.7930442948113681</v>
      </c>
      <c r="I495">
        <v>356.915206</v>
      </c>
      <c r="J495">
        <v>0</v>
      </c>
      <c r="K495" t="s">
        <v>1921</v>
      </c>
      <c r="L495">
        <v>0.6749212700492521</v>
      </c>
      <c r="M495">
        <v>45.68</v>
      </c>
      <c r="N495">
        <v>29.23</v>
      </c>
    </row>
    <row r="496" spans="1:14">
      <c r="A496" s="1" t="s">
        <v>508</v>
      </c>
      <c r="B496">
        <f>HYPERLINK("https://www.suredividend.com/sure-analysis-research-database/","US Ecology Inc.")</f>
        <v>0</v>
      </c>
      <c r="C496" t="s">
        <v>1924</v>
      </c>
      <c r="D496">
        <v>47.99</v>
      </c>
      <c r="E496">
        <v>0</v>
      </c>
      <c r="H496">
        <v>0</v>
      </c>
      <c r="I496">
        <v>0</v>
      </c>
      <c r="J496">
        <v>0</v>
      </c>
      <c r="K496">
        <v>-0</v>
      </c>
    </row>
    <row r="497" spans="1:14">
      <c r="A497" s="1" t="s">
        <v>509</v>
      </c>
      <c r="B497">
        <f>HYPERLINK("https://www.suredividend.com/sure-analysis-research-database/","ChannelAdvisor Corp")</f>
        <v>0</v>
      </c>
      <c r="C497" t="s">
        <v>1920</v>
      </c>
      <c r="D497">
        <v>22.69</v>
      </c>
      <c r="E497">
        <v>0</v>
      </c>
      <c r="H497">
        <v>0</v>
      </c>
      <c r="I497">
        <v>651.854316</v>
      </c>
      <c r="J497">
        <v>15.95375110624342</v>
      </c>
      <c r="K497">
        <v>0</v>
      </c>
      <c r="L497">
        <v>0.8580832053938011</v>
      </c>
      <c r="M497">
        <v>28.64</v>
      </c>
      <c r="N497">
        <v>11.89</v>
      </c>
    </row>
    <row r="498" spans="1:14">
      <c r="A498" s="1" t="s">
        <v>510</v>
      </c>
      <c r="B498">
        <f>HYPERLINK("https://www.suredividend.com/sure-analysis-research-database/","Encore Capital Group, Inc.")</f>
        <v>0</v>
      </c>
      <c r="C498" t="s">
        <v>1923</v>
      </c>
      <c r="D498">
        <v>46.17</v>
      </c>
      <c r="E498">
        <v>0</v>
      </c>
      <c r="H498">
        <v>0</v>
      </c>
      <c r="I498">
        <v>1102.56624</v>
      </c>
      <c r="J498">
        <v>2.785404699636466</v>
      </c>
      <c r="K498">
        <v>0</v>
      </c>
      <c r="L498">
        <v>0.350459634611347</v>
      </c>
      <c r="M498">
        <v>72.73</v>
      </c>
      <c r="N498">
        <v>45.12</v>
      </c>
    </row>
    <row r="499" spans="1:14">
      <c r="A499" s="1" t="s">
        <v>511</v>
      </c>
      <c r="B499">
        <f>HYPERLINK("https://www.suredividend.com/sure-analysis-research-database/","Ecovyst Inc")</f>
        <v>0</v>
      </c>
      <c r="C499" t="s">
        <v>1921</v>
      </c>
      <c r="D499">
        <v>8.75</v>
      </c>
      <c r="E499">
        <v>0</v>
      </c>
      <c r="H499">
        <v>0</v>
      </c>
      <c r="I499">
        <v>1196.471001</v>
      </c>
      <c r="J499" t="s">
        <v>1921</v>
      </c>
      <c r="K499">
        <v>-0</v>
      </c>
      <c r="L499">
        <v>0.8975119003733081</v>
      </c>
      <c r="M499">
        <v>13.79</v>
      </c>
      <c r="N499">
        <v>8.24</v>
      </c>
    </row>
    <row r="500" spans="1:14">
      <c r="A500" s="1" t="s">
        <v>512</v>
      </c>
      <c r="B500">
        <f>HYPERLINK("https://www.suredividend.com/sure-analysis-research-database/","Editas Medicine Inc")</f>
        <v>0</v>
      </c>
      <c r="C500" t="s">
        <v>1922</v>
      </c>
      <c r="D500">
        <v>11.8</v>
      </c>
      <c r="E500">
        <v>0</v>
      </c>
      <c r="H500">
        <v>0</v>
      </c>
      <c r="I500">
        <v>811.09955</v>
      </c>
      <c r="J500" t="s">
        <v>1921</v>
      </c>
      <c r="K500">
        <v>-0</v>
      </c>
      <c r="L500">
        <v>2.152865202278138</v>
      </c>
      <c r="M500">
        <v>42.11</v>
      </c>
      <c r="N500">
        <v>9.59</v>
      </c>
    </row>
    <row r="501" spans="1:14">
      <c r="A501" s="1" t="s">
        <v>513</v>
      </c>
      <c r="B501">
        <f>HYPERLINK("https://www.suredividend.com/sure-analysis-research-database/","Emerald Holding Inc")</f>
        <v>0</v>
      </c>
      <c r="C501" t="s">
        <v>1931</v>
      </c>
      <c r="D501">
        <v>3.12</v>
      </c>
      <c r="E501">
        <v>0</v>
      </c>
      <c r="H501">
        <v>0</v>
      </c>
      <c r="I501">
        <v>215.641199</v>
      </c>
      <c r="J501" t="s">
        <v>1921</v>
      </c>
      <c r="K501">
        <v>-0</v>
      </c>
      <c r="L501">
        <v>1.077233803748823</v>
      </c>
      <c r="M501">
        <v>5.1</v>
      </c>
      <c r="N501">
        <v>2.42</v>
      </c>
    </row>
    <row r="502" spans="1:14">
      <c r="A502" s="1" t="s">
        <v>514</v>
      </c>
      <c r="B502">
        <f>HYPERLINK("https://www.suredividend.com/sure-analysis-EFC/","Ellington Financial Inc")</f>
        <v>0</v>
      </c>
      <c r="C502" t="s">
        <v>1923</v>
      </c>
      <c r="D502">
        <v>11.11</v>
      </c>
      <c r="E502">
        <v>0.162016201620162</v>
      </c>
      <c r="F502">
        <v>0</v>
      </c>
      <c r="G502">
        <v>0.08447177119769855</v>
      </c>
      <c r="H502">
        <v>1.705927558495042</v>
      </c>
      <c r="I502">
        <v>667.110649</v>
      </c>
      <c r="J502">
        <v>0</v>
      </c>
      <c r="K502" t="s">
        <v>1921</v>
      </c>
      <c r="L502">
        <v>0.7981165141370531</v>
      </c>
      <c r="M502">
        <v>16.93</v>
      </c>
      <c r="N502">
        <v>10.81</v>
      </c>
    </row>
    <row r="503" spans="1:14">
      <c r="A503" s="1" t="s">
        <v>515</v>
      </c>
      <c r="B503">
        <f>HYPERLINK("https://www.suredividend.com/sure-analysis-research-database/","Enterprise Financial Services Corp.")</f>
        <v>0</v>
      </c>
      <c r="C503" t="s">
        <v>1923</v>
      </c>
      <c r="D503">
        <v>45.59</v>
      </c>
      <c r="E503">
        <v>0.018729816499973</v>
      </c>
      <c r="F503">
        <v>0.2105263157894737</v>
      </c>
      <c r="G503">
        <v>0.1589562187541786</v>
      </c>
      <c r="H503">
        <v>0.8538923342337971</v>
      </c>
      <c r="I503">
        <v>1696.841427</v>
      </c>
      <c r="J503">
        <v>10.91925576889169</v>
      </c>
      <c r="K503">
        <v>0.2067535918241639</v>
      </c>
      <c r="L503">
        <v>0.641808037668347</v>
      </c>
      <c r="M503">
        <v>50.76</v>
      </c>
      <c r="N503">
        <v>39.44</v>
      </c>
    </row>
    <row r="504" spans="1:14">
      <c r="A504" s="1" t="s">
        <v>516</v>
      </c>
      <c r="B504">
        <f>HYPERLINK("https://www.suredividend.com/sure-analysis-research-database/","eGain Corp")</f>
        <v>0</v>
      </c>
      <c r="C504" t="s">
        <v>1920</v>
      </c>
      <c r="D504">
        <v>7.42</v>
      </c>
      <c r="E504">
        <v>0</v>
      </c>
      <c r="H504">
        <v>0</v>
      </c>
      <c r="I504">
        <v>236.957374</v>
      </c>
      <c r="J504" t="s">
        <v>1921</v>
      </c>
      <c r="K504">
        <v>-0</v>
      </c>
      <c r="L504">
        <v>0.8982255048092891</v>
      </c>
      <c r="M504">
        <v>13.7</v>
      </c>
      <c r="N504">
        <v>7.27</v>
      </c>
    </row>
    <row r="505" spans="1:14">
      <c r="A505" s="1" t="s">
        <v>517</v>
      </c>
      <c r="B505">
        <f>HYPERLINK("https://www.suredividend.com/sure-analysis-research-database/","Eagle Bancorp Inc (MD)")</f>
        <v>0</v>
      </c>
      <c r="C505" t="s">
        <v>1923</v>
      </c>
      <c r="D505">
        <v>44.52</v>
      </c>
      <c r="E505">
        <v>0.04642194582926001</v>
      </c>
      <c r="H505">
        <v>2.066705028318662</v>
      </c>
      <c r="I505">
        <v>1428.409286</v>
      </c>
      <c r="J505">
        <v>9.738999282738684</v>
      </c>
      <c r="K505">
        <v>0.4522330477721361</v>
      </c>
      <c r="L505">
        <v>0.595802962353413</v>
      </c>
      <c r="M505">
        <v>62.15</v>
      </c>
      <c r="N505">
        <v>43.35</v>
      </c>
    </row>
    <row r="506" spans="1:14">
      <c r="A506" s="1" t="s">
        <v>518</v>
      </c>
      <c r="B506">
        <f>HYPERLINK("https://www.suredividend.com/sure-analysis-research-database/","8X8 Inc.")</f>
        <v>0</v>
      </c>
      <c r="C506" t="s">
        <v>1920</v>
      </c>
      <c r="D506">
        <v>3.02</v>
      </c>
      <c r="E506">
        <v>0</v>
      </c>
      <c r="H506">
        <v>0</v>
      </c>
      <c r="I506">
        <v>362.293312</v>
      </c>
      <c r="J506" t="s">
        <v>1921</v>
      </c>
      <c r="K506">
        <v>-0</v>
      </c>
      <c r="L506">
        <v>1.726029268839261</v>
      </c>
      <c r="M506">
        <v>24.81</v>
      </c>
      <c r="N506">
        <v>2.9</v>
      </c>
    </row>
    <row r="507" spans="1:14">
      <c r="A507" s="1" t="s">
        <v>519</v>
      </c>
      <c r="B507">
        <f>HYPERLINK("https://www.suredividend.com/sure-analysis-research-database/","Eagle Bulk Shipping Inc")</f>
        <v>0</v>
      </c>
      <c r="C507" t="s">
        <v>1924</v>
      </c>
      <c r="D507">
        <v>46.23</v>
      </c>
      <c r="E507">
        <v>0.169316858048196</v>
      </c>
      <c r="H507">
        <v>7.827518347568116</v>
      </c>
      <c r="I507">
        <v>632.948198</v>
      </c>
      <c r="J507">
        <v>2.019942904114408</v>
      </c>
      <c r="K507">
        <v>0.4447453606572793</v>
      </c>
      <c r="L507">
        <v>0.4449837325743161</v>
      </c>
      <c r="M507">
        <v>75.63</v>
      </c>
      <c r="N507">
        <v>32.61</v>
      </c>
    </row>
    <row r="508" spans="1:14">
      <c r="A508" s="1" t="s">
        <v>520</v>
      </c>
      <c r="B508">
        <f>HYPERLINK("https://www.suredividend.com/sure-analysis-EGP/","Eastgroup Properties, Inc.")</f>
        <v>0</v>
      </c>
      <c r="C508" t="s">
        <v>1929</v>
      </c>
      <c r="D508">
        <v>138.68</v>
      </c>
      <c r="E508">
        <v>0.03605422555523507</v>
      </c>
      <c r="F508">
        <v>0.3888888888888888</v>
      </c>
      <c r="G508">
        <v>0.1432626298183159</v>
      </c>
      <c r="H508">
        <v>4.500660635005992</v>
      </c>
      <c r="I508">
        <v>6041.735099</v>
      </c>
      <c r="J508">
        <v>28.44789314800428</v>
      </c>
      <c r="K508">
        <v>0.8756149095342397</v>
      </c>
      <c r="L508">
        <v>0.8553308586732461</v>
      </c>
      <c r="M508">
        <v>225.07</v>
      </c>
      <c r="N508">
        <v>137.47</v>
      </c>
    </row>
    <row r="509" spans="1:14">
      <c r="A509" s="1" t="s">
        <v>521</v>
      </c>
      <c r="B509">
        <f>HYPERLINK("https://www.suredividend.com/sure-analysis-research-database/","Eagle Pharmaceuticals Inc")</f>
        <v>0</v>
      </c>
      <c r="C509" t="s">
        <v>1922</v>
      </c>
      <c r="D509">
        <v>26.14</v>
      </c>
      <c r="E509">
        <v>0</v>
      </c>
      <c r="H509">
        <v>0</v>
      </c>
      <c r="I509">
        <v>347.258372</v>
      </c>
      <c r="J509">
        <v>15.23731339447126</v>
      </c>
      <c r="K509">
        <v>0</v>
      </c>
      <c r="L509">
        <v>0.492408389816765</v>
      </c>
      <c r="M509">
        <v>57.54</v>
      </c>
      <c r="N509">
        <v>24.35</v>
      </c>
    </row>
    <row r="510" spans="1:14">
      <c r="A510" s="1" t="s">
        <v>522</v>
      </c>
      <c r="B510">
        <f>HYPERLINK("https://www.suredividend.com/sure-analysis-research-database/","eHealth Inc")</f>
        <v>0</v>
      </c>
      <c r="C510" t="s">
        <v>1923</v>
      </c>
      <c r="D510">
        <v>3.15</v>
      </c>
      <c r="E510">
        <v>0</v>
      </c>
      <c r="H510">
        <v>0</v>
      </c>
      <c r="I510">
        <v>85.860089</v>
      </c>
      <c r="J510" t="s">
        <v>1921</v>
      </c>
      <c r="K510">
        <v>-0</v>
      </c>
      <c r="L510">
        <v>1.669877379321814</v>
      </c>
      <c r="M510">
        <v>47.21</v>
      </c>
      <c r="N510">
        <v>3.14</v>
      </c>
    </row>
    <row r="511" spans="1:14">
      <c r="A511" s="1" t="s">
        <v>523</v>
      </c>
      <c r="B511">
        <f>HYPERLINK("https://www.suredividend.com/sure-analysis-research-database/","Employers Holdings Inc")</f>
        <v>0</v>
      </c>
      <c r="C511" t="s">
        <v>1923</v>
      </c>
      <c r="D511">
        <v>33.38</v>
      </c>
      <c r="E511">
        <v>0.030261265893363</v>
      </c>
      <c r="F511">
        <v>0.04000000000000004</v>
      </c>
      <c r="G511">
        <v>0.05387395206178347</v>
      </c>
      <c r="H511">
        <v>1.010121055520475</v>
      </c>
      <c r="I511">
        <v>911.4265799999999</v>
      </c>
      <c r="J511">
        <v>17.56120577996147</v>
      </c>
      <c r="K511">
        <v>0.5460113813624189</v>
      </c>
      <c r="L511">
        <v>0.317332948507417</v>
      </c>
      <c r="M511">
        <v>42.89</v>
      </c>
      <c r="N511">
        <v>32.58</v>
      </c>
    </row>
    <row r="512" spans="1:14">
      <c r="A512" s="1" t="s">
        <v>524</v>
      </c>
      <c r="B512">
        <f>HYPERLINK("https://www.suredividend.com/sure-analysis-research-database/","Eiger BioPharmaceuticals Inc")</f>
        <v>0</v>
      </c>
      <c r="C512" t="s">
        <v>1922</v>
      </c>
      <c r="D512">
        <v>5.56</v>
      </c>
      <c r="E512">
        <v>0</v>
      </c>
      <c r="H512">
        <v>0</v>
      </c>
      <c r="I512">
        <v>244.455313</v>
      </c>
      <c r="J512">
        <v>0</v>
      </c>
      <c r="K512" t="s">
        <v>1921</v>
      </c>
      <c r="L512">
        <v>1.101208362695574</v>
      </c>
      <c r="M512">
        <v>10.02</v>
      </c>
      <c r="N512">
        <v>3.53</v>
      </c>
    </row>
    <row r="513" spans="1:14">
      <c r="A513" s="1" t="s">
        <v>525</v>
      </c>
      <c r="B513">
        <f>HYPERLINK("https://www.suredividend.com/sure-analysis-research-database/","e.l.f. Beauty Inc")</f>
        <v>0</v>
      </c>
      <c r="C513" t="s">
        <v>1928</v>
      </c>
      <c r="D513">
        <v>37.49</v>
      </c>
      <c r="E513">
        <v>0</v>
      </c>
      <c r="H513">
        <v>0</v>
      </c>
      <c r="I513">
        <v>1965.392443</v>
      </c>
      <c r="J513">
        <v>70.28546447269608</v>
      </c>
      <c r="K513">
        <v>0</v>
      </c>
      <c r="L513">
        <v>1.188055491411671</v>
      </c>
      <c r="M513">
        <v>41.31</v>
      </c>
      <c r="N513">
        <v>20.49</v>
      </c>
    </row>
    <row r="514" spans="1:14">
      <c r="A514" s="1" t="s">
        <v>526</v>
      </c>
      <c r="B514">
        <f>HYPERLINK("https://www.suredividend.com/sure-analysis-research-database/","Topgolf Callaway Brands Corp")</f>
        <v>0</v>
      </c>
      <c r="C514" t="s">
        <v>1927</v>
      </c>
      <c r="D514">
        <v>21.33</v>
      </c>
      <c r="E514">
        <v>0</v>
      </c>
      <c r="H514">
        <v>0</v>
      </c>
      <c r="I514">
        <v>3941.152952</v>
      </c>
      <c r="J514">
        <v>26.29486300614479</v>
      </c>
      <c r="K514">
        <v>0</v>
      </c>
      <c r="L514">
        <v>1.509442864551341</v>
      </c>
      <c r="M514">
        <v>31.68</v>
      </c>
      <c r="N514">
        <v>17.78</v>
      </c>
    </row>
    <row r="515" spans="1:14">
      <c r="A515" s="1" t="s">
        <v>527</v>
      </c>
      <c r="B515">
        <f>HYPERLINK("https://www.suredividend.com/sure-analysis-research-database/","Eliem Therapeutics Inc")</f>
        <v>0</v>
      </c>
      <c r="C515" t="s">
        <v>1921</v>
      </c>
      <c r="D515">
        <v>3.25</v>
      </c>
      <c r="E515">
        <v>0</v>
      </c>
      <c r="H515">
        <v>0</v>
      </c>
      <c r="I515">
        <v>86.34496300000001</v>
      </c>
      <c r="J515">
        <v>0</v>
      </c>
      <c r="K515" t="s">
        <v>1921</v>
      </c>
      <c r="L515">
        <v>0.4789179017001151</v>
      </c>
      <c r="M515">
        <v>19.62</v>
      </c>
      <c r="N515">
        <v>2.52</v>
      </c>
    </row>
    <row r="516" spans="1:14">
      <c r="A516" s="1" t="s">
        <v>528</v>
      </c>
      <c r="B516">
        <f>HYPERLINK("https://www.suredividend.com/sure-analysis-research-database/","Emcor Group, Inc.")</f>
        <v>0</v>
      </c>
      <c r="C516" t="s">
        <v>1924</v>
      </c>
      <c r="D516">
        <v>121.94</v>
      </c>
      <c r="E516">
        <v>0.004256773436527</v>
      </c>
      <c r="F516">
        <v>0</v>
      </c>
      <c r="G516">
        <v>0.1019722877214801</v>
      </c>
      <c r="H516">
        <v>0.519070952850206</v>
      </c>
      <c r="I516">
        <v>6017.528288</v>
      </c>
      <c r="J516">
        <v>16.02716758646773</v>
      </c>
      <c r="K516">
        <v>0.07300575989454373</v>
      </c>
      <c r="L516">
        <v>0.816310770351897</v>
      </c>
      <c r="M516">
        <v>135.51</v>
      </c>
      <c r="N516">
        <v>95.52</v>
      </c>
    </row>
    <row r="517" spans="1:14">
      <c r="A517" s="1" t="s">
        <v>529</v>
      </c>
      <c r="B517">
        <f>HYPERLINK("https://www.suredividend.com/sure-analysis-research-database/","Emcore Corp.")</f>
        <v>0</v>
      </c>
      <c r="C517" t="s">
        <v>1920</v>
      </c>
      <c r="D517">
        <v>1.49</v>
      </c>
      <c r="E517">
        <v>0</v>
      </c>
      <c r="H517">
        <v>0</v>
      </c>
      <c r="I517">
        <v>55.949358</v>
      </c>
      <c r="J517" t="s">
        <v>1921</v>
      </c>
      <c r="K517">
        <v>-0</v>
      </c>
      <c r="L517">
        <v>1.291561580424809</v>
      </c>
      <c r="M517">
        <v>8.73</v>
      </c>
      <c r="N517">
        <v>1.43</v>
      </c>
    </row>
    <row r="518" spans="1:14">
      <c r="A518" s="1" t="s">
        <v>530</v>
      </c>
      <c r="B518">
        <f>HYPERLINK("https://www.suredividend.com/sure-analysis-research-database/","Endo International plc")</f>
        <v>0</v>
      </c>
      <c r="C518" t="s">
        <v>1922</v>
      </c>
      <c r="D518">
        <v>0.2926</v>
      </c>
      <c r="E518">
        <v>0</v>
      </c>
      <c r="H518">
        <v>0</v>
      </c>
      <c r="I518">
        <v>0</v>
      </c>
      <c r="J518">
        <v>0</v>
      </c>
      <c r="K518" t="s">
        <v>1921</v>
      </c>
    </row>
    <row r="519" spans="1:14">
      <c r="A519" s="1" t="s">
        <v>531</v>
      </c>
      <c r="B519">
        <f>HYPERLINK("https://www.suredividend.com/sure-analysis-research-database/","Enfusion Inc")</f>
        <v>0</v>
      </c>
      <c r="C519" t="s">
        <v>1921</v>
      </c>
      <c r="D519">
        <v>10.58</v>
      </c>
      <c r="E519">
        <v>0</v>
      </c>
      <c r="H519">
        <v>0</v>
      </c>
      <c r="I519">
        <v>708.877478</v>
      </c>
      <c r="J519">
        <v>0</v>
      </c>
      <c r="K519" t="s">
        <v>1921</v>
      </c>
      <c r="M519">
        <v>23.21</v>
      </c>
      <c r="N519">
        <v>7.8</v>
      </c>
    </row>
    <row r="520" spans="1:14">
      <c r="A520" s="1" t="s">
        <v>532</v>
      </c>
      <c r="B520">
        <f>HYPERLINK("https://www.suredividend.com/sure-analysis-research-database/","Energizer Holdings Inc")</f>
        <v>0</v>
      </c>
      <c r="C520" t="s">
        <v>1924</v>
      </c>
      <c r="D520">
        <v>25.89</v>
      </c>
      <c r="E520">
        <v>0.04570159462481201</v>
      </c>
      <c r="F520">
        <v>0</v>
      </c>
      <c r="G520">
        <v>0.006803348678863008</v>
      </c>
      <c r="H520">
        <v>1.183214284836397</v>
      </c>
      <c r="I520">
        <v>1844.785244</v>
      </c>
      <c r="J520">
        <v>8.933584719079903</v>
      </c>
      <c r="K520">
        <v>0.3930944467895007</v>
      </c>
      <c r="L520">
        <v>0.6127682161658791</v>
      </c>
      <c r="M520">
        <v>40.48</v>
      </c>
      <c r="N520">
        <v>24.81</v>
      </c>
    </row>
    <row r="521" spans="1:14">
      <c r="A521" s="1" t="s">
        <v>533</v>
      </c>
      <c r="B521">
        <f>HYPERLINK("https://www.suredividend.com/sure-analysis-research-database/","Enersys")</f>
        <v>0</v>
      </c>
      <c r="C521" t="s">
        <v>1924</v>
      </c>
      <c r="D521">
        <v>60.57</v>
      </c>
      <c r="E521">
        <v>0.01150958604101</v>
      </c>
      <c r="F521">
        <v>0</v>
      </c>
      <c r="G521">
        <v>0</v>
      </c>
      <c r="H521">
        <v>0.6971356265040031</v>
      </c>
      <c r="I521">
        <v>2462.66996</v>
      </c>
      <c r="J521">
        <v>18.80474923808796</v>
      </c>
      <c r="K521">
        <v>0.2248824601625816</v>
      </c>
      <c r="L521">
        <v>1.160228149073691</v>
      </c>
      <c r="M521">
        <v>85.92</v>
      </c>
      <c r="N521">
        <v>55.45</v>
      </c>
    </row>
    <row r="522" spans="1:14">
      <c r="A522" s="1" t="s">
        <v>534</v>
      </c>
      <c r="B522">
        <f>HYPERLINK("https://www.suredividend.com/sure-analysis-research-database/","Ensign Group Inc")</f>
        <v>0</v>
      </c>
      <c r="C522" t="s">
        <v>1922</v>
      </c>
      <c r="D522">
        <v>85.38</v>
      </c>
      <c r="E522">
        <v>0.00257404789732</v>
      </c>
      <c r="F522">
        <v>0.04761904761904745</v>
      </c>
      <c r="G522">
        <v>0.04095039696925684</v>
      </c>
      <c r="H522">
        <v>0.219772209473242</v>
      </c>
      <c r="I522">
        <v>4720.651918</v>
      </c>
      <c r="J522">
        <v>23.13455353605944</v>
      </c>
      <c r="K522">
        <v>0.06121788564714263</v>
      </c>
      <c r="L522">
        <v>0.672402079767893</v>
      </c>
      <c r="M522">
        <v>94.12</v>
      </c>
      <c r="N522">
        <v>68.11</v>
      </c>
    </row>
    <row r="523" spans="1:14">
      <c r="A523" s="1" t="s">
        <v>535</v>
      </c>
      <c r="B523">
        <f>HYPERLINK("https://www.suredividend.com/sure-analysis-research-database/","Enanta Pharmaceuticals Inc")</f>
        <v>0</v>
      </c>
      <c r="C523" t="s">
        <v>1922</v>
      </c>
      <c r="D523">
        <v>48.49</v>
      </c>
      <c r="E523">
        <v>0</v>
      </c>
      <c r="H523">
        <v>0</v>
      </c>
      <c r="I523">
        <v>1004.948849</v>
      </c>
      <c r="J523" t="s">
        <v>1921</v>
      </c>
      <c r="K523">
        <v>-0</v>
      </c>
      <c r="L523">
        <v>0.9059718002903231</v>
      </c>
      <c r="M523">
        <v>102</v>
      </c>
      <c r="N523">
        <v>37.59</v>
      </c>
    </row>
    <row r="524" spans="1:14">
      <c r="A524" s="1" t="s">
        <v>536</v>
      </c>
      <c r="B524">
        <f>HYPERLINK("https://www.suredividend.com/sure-analysis-research-database/","Envestnet Inc.")</f>
        <v>0</v>
      </c>
      <c r="C524" t="s">
        <v>1920</v>
      </c>
      <c r="D524">
        <v>43.47</v>
      </c>
      <c r="E524">
        <v>0</v>
      </c>
      <c r="H524">
        <v>0</v>
      </c>
      <c r="I524">
        <v>2399.408374</v>
      </c>
      <c r="J524" t="s">
        <v>1921</v>
      </c>
      <c r="K524">
        <v>-0</v>
      </c>
      <c r="L524">
        <v>0.839071364448834</v>
      </c>
      <c r="M524">
        <v>85.98999999999999</v>
      </c>
      <c r="N524">
        <v>43.26</v>
      </c>
    </row>
    <row r="525" spans="1:14">
      <c r="A525" s="1" t="s">
        <v>537</v>
      </c>
      <c r="B525">
        <f>HYPERLINK("https://www.suredividend.com/sure-analysis-research-database/","Enova International Inc.")</f>
        <v>0</v>
      </c>
      <c r="C525" t="s">
        <v>1923</v>
      </c>
      <c r="D525">
        <v>30.38</v>
      </c>
      <c r="E525">
        <v>0</v>
      </c>
      <c r="H525">
        <v>0</v>
      </c>
      <c r="I525">
        <v>972.483456</v>
      </c>
      <c r="J525">
        <v>0</v>
      </c>
      <c r="K525" t="s">
        <v>1921</v>
      </c>
      <c r="L525">
        <v>1.287045146967939</v>
      </c>
      <c r="M525">
        <v>47.88</v>
      </c>
      <c r="N525">
        <v>25.8</v>
      </c>
    </row>
    <row r="526" spans="1:14">
      <c r="A526" s="1" t="s">
        <v>538</v>
      </c>
      <c r="B526">
        <f>HYPERLINK("https://www.suredividend.com/sure-analysis-research-database/","Evolus Inc")</f>
        <v>0</v>
      </c>
      <c r="C526" t="s">
        <v>1922</v>
      </c>
      <c r="D526">
        <v>8.49</v>
      </c>
      <c r="E526">
        <v>0</v>
      </c>
      <c r="H526">
        <v>0</v>
      </c>
      <c r="I526">
        <v>476.244682</v>
      </c>
      <c r="J526" t="s">
        <v>1921</v>
      </c>
      <c r="K526">
        <v>-0</v>
      </c>
      <c r="L526">
        <v>1.190751431777716</v>
      </c>
      <c r="M526">
        <v>14.34</v>
      </c>
      <c r="N526">
        <v>5.06</v>
      </c>
    </row>
    <row r="527" spans="1:14">
      <c r="A527" s="1" t="s">
        <v>539</v>
      </c>
      <c r="B527">
        <f>HYPERLINK("https://www.suredividend.com/sure-analysis-research-database/","Eos Energy Enterprises Inc")</f>
        <v>0</v>
      </c>
      <c r="C527" t="s">
        <v>1921</v>
      </c>
      <c r="D527">
        <v>1.51</v>
      </c>
      <c r="E527">
        <v>0</v>
      </c>
      <c r="H527">
        <v>0</v>
      </c>
      <c r="I527">
        <v>90.07295000000001</v>
      </c>
      <c r="J527">
        <v>0</v>
      </c>
      <c r="K527" t="s">
        <v>1921</v>
      </c>
      <c r="L527">
        <v>2.776772312353032</v>
      </c>
      <c r="M527">
        <v>12.85</v>
      </c>
      <c r="N527">
        <v>1</v>
      </c>
    </row>
    <row r="528" spans="1:14">
      <c r="A528" s="1" t="s">
        <v>540</v>
      </c>
      <c r="B528">
        <f>HYPERLINK("https://www.suredividend.com/sure-analysis-research-database/","Enerpac Tool Group Corp")</f>
        <v>0</v>
      </c>
      <c r="C528" t="s">
        <v>1924</v>
      </c>
      <c r="D528">
        <v>20.3</v>
      </c>
      <c r="E528">
        <v>0.00197044330571</v>
      </c>
      <c r="H528">
        <v>0.03999999910593</v>
      </c>
      <c r="I528">
        <v>1180.28189</v>
      </c>
      <c r="J528">
        <v>108.1042214233376</v>
      </c>
      <c r="K528">
        <v>0.2222222172551667</v>
      </c>
      <c r="L528">
        <v>0.8230730133792391</v>
      </c>
      <c r="M528">
        <v>23.61</v>
      </c>
      <c r="N528">
        <v>16.06</v>
      </c>
    </row>
    <row r="529" spans="1:14">
      <c r="A529" s="1" t="s">
        <v>541</v>
      </c>
      <c r="B529">
        <f>HYPERLINK("https://www.suredividend.com/sure-analysis-research-database/","Bottomline Technologies (Delaware) Inc")</f>
        <v>0</v>
      </c>
      <c r="C529" t="s">
        <v>1920</v>
      </c>
      <c r="D529">
        <v>56.99</v>
      </c>
      <c r="E529">
        <v>0</v>
      </c>
      <c r="H529">
        <v>0</v>
      </c>
      <c r="I529">
        <v>0</v>
      </c>
      <c r="J529">
        <v>0</v>
      </c>
      <c r="K529">
        <v>-0</v>
      </c>
    </row>
    <row r="530" spans="1:14">
      <c r="A530" s="1" t="s">
        <v>542</v>
      </c>
      <c r="B530">
        <f>HYPERLINK("https://www.suredividend.com/sure-analysis-research-database/","Edgewell Personal Care Co")</f>
        <v>0</v>
      </c>
      <c r="C530" t="s">
        <v>1928</v>
      </c>
      <c r="D530">
        <v>38.74</v>
      </c>
      <c r="E530">
        <v>0.015395223257421</v>
      </c>
      <c r="H530">
        <v>0.596410948992517</v>
      </c>
      <c r="I530">
        <v>2007.74753</v>
      </c>
      <c r="J530">
        <v>18.4197021133945</v>
      </c>
      <c r="K530">
        <v>0.2982054744962585</v>
      </c>
      <c r="L530">
        <v>0.553951169374135</v>
      </c>
      <c r="M530">
        <v>51.23</v>
      </c>
      <c r="N530">
        <v>31.75</v>
      </c>
    </row>
    <row r="531" spans="1:14">
      <c r="A531" s="1" t="s">
        <v>543</v>
      </c>
      <c r="B531">
        <f>HYPERLINK("https://www.suredividend.com/sure-analysis-EPRT/","Essential Properties Realty Trust Inc")</f>
        <v>0</v>
      </c>
      <c r="C531" t="s">
        <v>1929</v>
      </c>
      <c r="D531">
        <v>19.28</v>
      </c>
      <c r="E531">
        <v>0.05601659751037345</v>
      </c>
      <c r="H531">
        <v>1.040637780233495</v>
      </c>
      <c r="I531">
        <v>2576.235013</v>
      </c>
      <c r="J531">
        <v>0</v>
      </c>
      <c r="K531" t="s">
        <v>1921</v>
      </c>
      <c r="L531">
        <v>0.801114025679009</v>
      </c>
      <c r="M531">
        <v>29.86</v>
      </c>
      <c r="N531">
        <v>18.95</v>
      </c>
    </row>
    <row r="532" spans="1:14">
      <c r="A532" s="1" t="s">
        <v>544</v>
      </c>
      <c r="B532">
        <f>HYPERLINK("https://www.suredividend.com/sure-analysis-research-database/","Epizyme Inc")</f>
        <v>0</v>
      </c>
      <c r="C532" t="s">
        <v>1922</v>
      </c>
      <c r="D532">
        <v>1.47</v>
      </c>
      <c r="E532">
        <v>0</v>
      </c>
      <c r="H532">
        <v>0</v>
      </c>
      <c r="I532">
        <v>0</v>
      </c>
      <c r="J532">
        <v>0</v>
      </c>
      <c r="K532" t="s">
        <v>1921</v>
      </c>
    </row>
    <row r="533" spans="1:14">
      <c r="A533" s="1" t="s">
        <v>545</v>
      </c>
      <c r="B533">
        <f>HYPERLINK("https://www.suredividend.com/sure-analysis-research-database/","Equity Bancshares Inc")</f>
        <v>0</v>
      </c>
      <c r="C533" t="s">
        <v>1923</v>
      </c>
      <c r="D533">
        <v>30.84</v>
      </c>
      <c r="E533">
        <v>0.010978607699753</v>
      </c>
      <c r="H533">
        <v>0.338580261460404</v>
      </c>
      <c r="I533">
        <v>496.258961</v>
      </c>
      <c r="J533">
        <v>0</v>
      </c>
      <c r="K533" t="s">
        <v>1921</v>
      </c>
      <c r="L533">
        <v>0.5136118914873511</v>
      </c>
      <c r="M533">
        <v>35.61</v>
      </c>
      <c r="N533">
        <v>27.96</v>
      </c>
    </row>
    <row r="534" spans="1:14">
      <c r="A534" s="1" t="s">
        <v>546</v>
      </c>
      <c r="B534">
        <f>HYPERLINK("https://www.suredividend.com/sure-analysis-research-database/","Equity Commonwealth")</f>
        <v>0</v>
      </c>
      <c r="C534" t="s">
        <v>1929</v>
      </c>
      <c r="D534">
        <v>23.99</v>
      </c>
      <c r="E534">
        <v>0</v>
      </c>
      <c r="H534">
        <v>0</v>
      </c>
      <c r="I534">
        <v>2668.69179</v>
      </c>
      <c r="J534" t="s">
        <v>1921</v>
      </c>
      <c r="K534">
        <v>-0</v>
      </c>
      <c r="L534">
        <v>0.255098886252243</v>
      </c>
      <c r="M534">
        <v>27.69</v>
      </c>
      <c r="N534">
        <v>23.88</v>
      </c>
    </row>
    <row r="535" spans="1:14">
      <c r="A535" s="1" t="s">
        <v>547</v>
      </c>
      <c r="B535">
        <f>HYPERLINK("https://www.suredividend.com/sure-analysis-research-database/","Erasca Inc")</f>
        <v>0</v>
      </c>
      <c r="C535" t="s">
        <v>1921</v>
      </c>
      <c r="D535">
        <v>7.24</v>
      </c>
      <c r="E535">
        <v>0</v>
      </c>
      <c r="H535">
        <v>0</v>
      </c>
      <c r="I535">
        <v>884.344302</v>
      </c>
      <c r="J535">
        <v>0</v>
      </c>
      <c r="K535" t="s">
        <v>1921</v>
      </c>
      <c r="L535">
        <v>1.264538860523107</v>
      </c>
      <c r="M535">
        <v>20.6</v>
      </c>
      <c r="N535">
        <v>4.51</v>
      </c>
    </row>
    <row r="536" spans="1:14">
      <c r="A536" s="1" t="s">
        <v>548</v>
      </c>
      <c r="B536">
        <f>HYPERLINK("https://www.suredividend.com/sure-analysis-research-database/","Energy Recovery Inc")</f>
        <v>0</v>
      </c>
      <c r="C536" t="s">
        <v>1924</v>
      </c>
      <c r="D536">
        <v>20.88</v>
      </c>
      <c r="E536">
        <v>0</v>
      </c>
      <c r="H536">
        <v>0</v>
      </c>
      <c r="I536">
        <v>1168.438327</v>
      </c>
      <c r="J536">
        <v>98.44454690369872</v>
      </c>
      <c r="K536">
        <v>0</v>
      </c>
      <c r="L536">
        <v>1.053642592102539</v>
      </c>
      <c r="M536">
        <v>26.2</v>
      </c>
      <c r="N536">
        <v>16.92</v>
      </c>
    </row>
    <row r="537" spans="1:14">
      <c r="A537" s="1" t="s">
        <v>549</v>
      </c>
      <c r="B537">
        <f>HYPERLINK("https://www.suredividend.com/sure-analysis-research-database/","Escalade, Inc.")</f>
        <v>0</v>
      </c>
      <c r="C537" t="s">
        <v>1927</v>
      </c>
      <c r="D537">
        <v>10.55</v>
      </c>
      <c r="E537">
        <v>0.05492583696601901</v>
      </c>
      <c r="F537">
        <v>0.0714285714285714</v>
      </c>
      <c r="G537">
        <v>0.05457794330579446</v>
      </c>
      <c r="H537">
        <v>0.579467579991507</v>
      </c>
      <c r="I537">
        <v>143.378794</v>
      </c>
      <c r="J537">
        <v>6.189725170523226</v>
      </c>
      <c r="K537">
        <v>0.3428802248470456</v>
      </c>
      <c r="L537">
        <v>0.8867028692937091</v>
      </c>
      <c r="M537">
        <v>19.71</v>
      </c>
      <c r="N537">
        <v>9.859999999999999</v>
      </c>
    </row>
    <row r="538" spans="1:14">
      <c r="A538" s="1" t="s">
        <v>550</v>
      </c>
      <c r="B538">
        <f>HYPERLINK("https://www.suredividend.com/sure-analysis-research-database/","Esco Technologies, Inc.")</f>
        <v>0</v>
      </c>
      <c r="C538" t="s">
        <v>1920</v>
      </c>
      <c r="D538">
        <v>76.20999999999999</v>
      </c>
      <c r="E538">
        <v>0.004191841928708</v>
      </c>
      <c r="F538">
        <v>0</v>
      </c>
      <c r="G538">
        <v>0</v>
      </c>
      <c r="H538">
        <v>0.319460273386899</v>
      </c>
      <c r="I538">
        <v>1970.098308</v>
      </c>
      <c r="J538">
        <v>28.19783743913436</v>
      </c>
      <c r="K538">
        <v>0.1192015945473504</v>
      </c>
      <c r="L538">
        <v>0.8297616323888941</v>
      </c>
      <c r="M538">
        <v>95.59999999999999</v>
      </c>
      <c r="N538">
        <v>59.9</v>
      </c>
    </row>
    <row r="539" spans="1:14">
      <c r="A539" s="1" t="s">
        <v>551</v>
      </c>
      <c r="B539">
        <f>HYPERLINK("https://www.suredividend.com/sure-analysis-research-database/","Enstar Group Limited")</f>
        <v>0</v>
      </c>
      <c r="C539" t="s">
        <v>1923</v>
      </c>
      <c r="D539">
        <v>181.68</v>
      </c>
      <c r="E539">
        <v>0</v>
      </c>
      <c r="H539">
        <v>0</v>
      </c>
      <c r="I539">
        <v>2987.875124</v>
      </c>
      <c r="J539" t="s">
        <v>1921</v>
      </c>
      <c r="K539">
        <v>-0</v>
      </c>
      <c r="L539">
        <v>0.429288428616742</v>
      </c>
      <c r="M539">
        <v>286.89</v>
      </c>
      <c r="N539">
        <v>169.04</v>
      </c>
    </row>
    <row r="540" spans="1:14">
      <c r="A540" s="1" t="s">
        <v>552</v>
      </c>
      <c r="B540">
        <f>HYPERLINK("https://www.suredividend.com/sure-analysis-research-database/","Engagesmart Inc")</f>
        <v>0</v>
      </c>
      <c r="C540" t="s">
        <v>1921</v>
      </c>
      <c r="D540">
        <v>20.32</v>
      </c>
      <c r="E540">
        <v>0</v>
      </c>
      <c r="H540">
        <v>0</v>
      </c>
      <c r="I540">
        <v>3329.147865</v>
      </c>
      <c r="J540">
        <v>0</v>
      </c>
      <c r="K540" t="s">
        <v>1921</v>
      </c>
      <c r="L540">
        <v>1.393918218313691</v>
      </c>
      <c r="M540">
        <v>35.94</v>
      </c>
      <c r="N540">
        <v>15.64</v>
      </c>
    </row>
    <row r="541" spans="1:14">
      <c r="A541" s="1" t="s">
        <v>553</v>
      </c>
      <c r="B541">
        <f>HYPERLINK("https://www.suredividend.com/sure-analysis-research-database/","Essent Group Ltd")</f>
        <v>0</v>
      </c>
      <c r="C541" t="s">
        <v>1923</v>
      </c>
      <c r="D541">
        <v>35.21</v>
      </c>
      <c r="E541">
        <v>0.02316926541095</v>
      </c>
      <c r="H541">
        <v>0.81578983511958</v>
      </c>
      <c r="I541">
        <v>3792.026405</v>
      </c>
      <c r="J541">
        <v>4.249835706294913</v>
      </c>
      <c r="K541">
        <v>0.09997424449994853</v>
      </c>
      <c r="L541">
        <v>0.9829690724074581</v>
      </c>
      <c r="M541">
        <v>49.65</v>
      </c>
      <c r="N541">
        <v>34.27</v>
      </c>
    </row>
    <row r="542" spans="1:14">
      <c r="A542" s="1" t="s">
        <v>554</v>
      </c>
      <c r="B542">
        <f>HYPERLINK("https://www.suredividend.com/sure-analysis-research-database/","Esperion Therapeutics Inc.")</f>
        <v>0</v>
      </c>
      <c r="C542" t="s">
        <v>1922</v>
      </c>
      <c r="D542">
        <v>7.67</v>
      </c>
      <c r="E542">
        <v>0</v>
      </c>
      <c r="H542">
        <v>0</v>
      </c>
      <c r="I542">
        <v>510.450619</v>
      </c>
      <c r="J542">
        <v>0</v>
      </c>
      <c r="K542" t="s">
        <v>1921</v>
      </c>
      <c r="L542">
        <v>1.069985750397944</v>
      </c>
      <c r="M542">
        <v>10.83</v>
      </c>
      <c r="N542">
        <v>3.28</v>
      </c>
    </row>
    <row r="543" spans="1:14">
      <c r="A543" s="1" t="s">
        <v>555</v>
      </c>
      <c r="B543">
        <f>HYPERLINK("https://www.suredividend.com/sure-analysis-ESRT/","Empire State Realty Trust Inc")</f>
        <v>0</v>
      </c>
      <c r="C543" t="s">
        <v>1929</v>
      </c>
      <c r="D543">
        <v>6.38</v>
      </c>
      <c r="E543">
        <v>0.0219435736677116</v>
      </c>
      <c r="H543">
        <v>0.139001894448052</v>
      </c>
      <c r="I543">
        <v>1062.716077</v>
      </c>
      <c r="J543">
        <v>132.3761929297459</v>
      </c>
      <c r="K543">
        <v>4.744091960684368</v>
      </c>
      <c r="L543">
        <v>0.9730138964037751</v>
      </c>
      <c r="M543">
        <v>10.88</v>
      </c>
      <c r="N543">
        <v>6.34</v>
      </c>
    </row>
    <row r="544" spans="1:14">
      <c r="A544" s="1" t="s">
        <v>556</v>
      </c>
      <c r="B544">
        <f>HYPERLINK("https://www.suredividend.com/sure-analysis-research-database/","Earthstone Energy Inc")</f>
        <v>0</v>
      </c>
      <c r="C544" t="s">
        <v>1926</v>
      </c>
      <c r="D544">
        <v>14.32</v>
      </c>
      <c r="E544">
        <v>0</v>
      </c>
      <c r="H544">
        <v>0</v>
      </c>
      <c r="I544">
        <v>1550.922774</v>
      </c>
      <c r="J544">
        <v>0</v>
      </c>
      <c r="K544" t="s">
        <v>1921</v>
      </c>
      <c r="L544">
        <v>1.200065611862887</v>
      </c>
      <c r="M544">
        <v>22.25</v>
      </c>
      <c r="N544">
        <v>9.41</v>
      </c>
    </row>
    <row r="545" spans="1:14">
      <c r="A545" s="1" t="s">
        <v>557</v>
      </c>
      <c r="B545">
        <f>HYPERLINK("https://www.suredividend.com/sure-analysis-ETD/","Ethan Allen Interiors, Inc.")</f>
        <v>0</v>
      </c>
      <c r="C545" t="s">
        <v>1921</v>
      </c>
      <c r="D545">
        <v>22.48</v>
      </c>
      <c r="E545">
        <v>0.05693950177935943</v>
      </c>
      <c r="F545">
        <v>0.7241379310344829</v>
      </c>
      <c r="G545">
        <v>0.2135097797182097</v>
      </c>
      <c r="H545">
        <v>1.192945632617801</v>
      </c>
      <c r="I545">
        <v>569.8100020000001</v>
      </c>
      <c r="J545">
        <v>5.51713789310612</v>
      </c>
      <c r="K545">
        <v>0.2945544771895805</v>
      </c>
      <c r="L545">
        <v>1.036242552768202</v>
      </c>
      <c r="M545">
        <v>27.17</v>
      </c>
      <c r="N545">
        <v>19.24</v>
      </c>
    </row>
    <row r="546" spans="1:14">
      <c r="A546" s="1" t="s">
        <v>558</v>
      </c>
      <c r="B546">
        <f>HYPERLINK("https://www.suredividend.com/sure-analysis-research-database/","89bio Inc")</f>
        <v>0</v>
      </c>
      <c r="C546" t="s">
        <v>1922</v>
      </c>
      <c r="D546">
        <v>7.82</v>
      </c>
      <c r="E546">
        <v>0</v>
      </c>
      <c r="H546">
        <v>0</v>
      </c>
      <c r="I546">
        <v>159.147823</v>
      </c>
      <c r="J546">
        <v>0</v>
      </c>
      <c r="K546" t="s">
        <v>1921</v>
      </c>
      <c r="L546">
        <v>0.665205715698716</v>
      </c>
      <c r="M546">
        <v>19.89</v>
      </c>
      <c r="N546">
        <v>2</v>
      </c>
    </row>
    <row r="547" spans="1:14">
      <c r="A547" s="1" t="s">
        <v>559</v>
      </c>
      <c r="B547">
        <f>HYPERLINK("https://www.suredividend.com/sure-analysis-research-database/","Equitrans Midstream Corporation")</f>
        <v>0</v>
      </c>
      <c r="C547" t="s">
        <v>1926</v>
      </c>
      <c r="D547">
        <v>7.77</v>
      </c>
      <c r="E547">
        <v>0.07503878623320501</v>
      </c>
      <c r="H547">
        <v>0.583051369032007</v>
      </c>
      <c r="I547">
        <v>3362.70837</v>
      </c>
      <c r="J547" t="s">
        <v>1921</v>
      </c>
      <c r="K547" t="s">
        <v>1921</v>
      </c>
      <c r="L547">
        <v>1.076338349463415</v>
      </c>
      <c r="M547">
        <v>10.72</v>
      </c>
      <c r="N547">
        <v>5.65</v>
      </c>
    </row>
    <row r="548" spans="1:14">
      <c r="A548" s="1" t="s">
        <v>560</v>
      </c>
      <c r="B548">
        <f>HYPERLINK("https://www.suredividend.com/sure-analysis-research-database/","E2open Parent Holdings Inc")</f>
        <v>0</v>
      </c>
      <c r="C548" t="s">
        <v>1921</v>
      </c>
      <c r="D548">
        <v>6.01</v>
      </c>
      <c r="E548">
        <v>0</v>
      </c>
      <c r="H548">
        <v>0</v>
      </c>
      <c r="I548">
        <v>1814.535239</v>
      </c>
      <c r="J548">
        <v>0</v>
      </c>
      <c r="K548" t="s">
        <v>1921</v>
      </c>
      <c r="L548">
        <v>1.572667668902521</v>
      </c>
      <c r="M548">
        <v>13.32</v>
      </c>
      <c r="N548">
        <v>5.9</v>
      </c>
    </row>
    <row r="549" spans="1:14">
      <c r="A549" s="1" t="s">
        <v>561</v>
      </c>
      <c r="B549">
        <f>HYPERLINK("https://www.suredividend.com/sure-analysis-research-database/","Entravision Communications Corp.")</f>
        <v>0</v>
      </c>
      <c r="C549" t="s">
        <v>1931</v>
      </c>
      <c r="D549">
        <v>4.1</v>
      </c>
      <c r="E549">
        <v>0.024204948466397</v>
      </c>
      <c r="F549">
        <v>0</v>
      </c>
      <c r="G549">
        <v>-0.1294494367038759</v>
      </c>
      <c r="H549">
        <v>0.09924028871223101</v>
      </c>
      <c r="I549">
        <v>251.938739</v>
      </c>
      <c r="J549">
        <v>9.560154035593669</v>
      </c>
      <c r="K549">
        <v>0.331907320107796</v>
      </c>
      <c r="L549">
        <v>1.160850694341548</v>
      </c>
      <c r="M549">
        <v>9.17</v>
      </c>
      <c r="N549">
        <v>3.96</v>
      </c>
    </row>
    <row r="550" spans="1:14">
      <c r="A550" s="1" t="s">
        <v>562</v>
      </c>
      <c r="B550">
        <f>HYPERLINK("https://www.suredividend.com/sure-analysis-research-database/","EverCommerce Inc")</f>
        <v>0</v>
      </c>
      <c r="C550" t="s">
        <v>1921</v>
      </c>
      <c r="D550">
        <v>9.220000000000001</v>
      </c>
      <c r="E550">
        <v>0</v>
      </c>
      <c r="H550">
        <v>0</v>
      </c>
      <c r="I550">
        <v>1793.968767</v>
      </c>
      <c r="J550">
        <v>0</v>
      </c>
      <c r="K550" t="s">
        <v>1921</v>
      </c>
      <c r="L550">
        <v>1.432430307115677</v>
      </c>
      <c r="M550">
        <v>21.69</v>
      </c>
      <c r="N550">
        <v>7.73</v>
      </c>
    </row>
    <row r="551" spans="1:14">
      <c r="A551" s="1" t="s">
        <v>563</v>
      </c>
      <c r="B551">
        <f>HYPERLINK("https://www.suredividend.com/sure-analysis-research-database/","EverQuote Inc")</f>
        <v>0</v>
      </c>
      <c r="C551" t="s">
        <v>1931</v>
      </c>
      <c r="D551">
        <v>6.68</v>
      </c>
      <c r="E551">
        <v>0</v>
      </c>
      <c r="H551">
        <v>0</v>
      </c>
      <c r="I551">
        <v>170.58364</v>
      </c>
      <c r="J551">
        <v>0</v>
      </c>
      <c r="K551" t="s">
        <v>1921</v>
      </c>
      <c r="L551">
        <v>1.290198614998762</v>
      </c>
      <c r="M551">
        <v>17.97</v>
      </c>
      <c r="N551">
        <v>6.45</v>
      </c>
    </row>
    <row r="552" spans="1:14">
      <c r="A552" s="1" t="s">
        <v>564</v>
      </c>
      <c r="B552">
        <f>HYPERLINK("https://www.suredividend.com/sure-analysis-research-database/","Evolent Health Inc")</f>
        <v>0</v>
      </c>
      <c r="C552" t="s">
        <v>1922</v>
      </c>
      <c r="D552">
        <v>32.66</v>
      </c>
      <c r="E552">
        <v>0</v>
      </c>
      <c r="H552">
        <v>0</v>
      </c>
      <c r="I552">
        <v>2991.478395</v>
      </c>
      <c r="J552" t="s">
        <v>1921</v>
      </c>
      <c r="K552">
        <v>-0</v>
      </c>
      <c r="L552">
        <v>1.131187688470488</v>
      </c>
      <c r="M552">
        <v>39.78</v>
      </c>
      <c r="N552">
        <v>21.36</v>
      </c>
    </row>
    <row r="553" spans="1:14">
      <c r="A553" s="1" t="s">
        <v>565</v>
      </c>
      <c r="B553">
        <f>HYPERLINK("https://www.suredividend.com/sure-analysis-research-database/","EVI Industries Inc")</f>
        <v>0</v>
      </c>
      <c r="C553" t="s">
        <v>1924</v>
      </c>
      <c r="D553">
        <v>14.57</v>
      </c>
      <c r="E553">
        <v>0</v>
      </c>
      <c r="H553">
        <v>0</v>
      </c>
      <c r="I553">
        <v>182.450275</v>
      </c>
      <c r="J553">
        <v>0</v>
      </c>
      <c r="K553" t="s">
        <v>1921</v>
      </c>
      <c r="L553">
        <v>0.5423929080404211</v>
      </c>
      <c r="M553">
        <v>38.42</v>
      </c>
      <c r="N553">
        <v>7.25</v>
      </c>
    </row>
    <row r="554" spans="1:14">
      <c r="A554" s="1" t="s">
        <v>566</v>
      </c>
      <c r="B554">
        <f>HYPERLINK("https://www.suredividend.com/sure-analysis-research-database/","Evelo Biosciences Inc")</f>
        <v>0</v>
      </c>
      <c r="C554" t="s">
        <v>1922</v>
      </c>
      <c r="D554">
        <v>2.2</v>
      </c>
      <c r="E554">
        <v>0</v>
      </c>
      <c r="H554">
        <v>0</v>
      </c>
      <c r="I554">
        <v>237.586149</v>
      </c>
      <c r="J554">
        <v>0</v>
      </c>
      <c r="K554" t="s">
        <v>1921</v>
      </c>
      <c r="L554">
        <v>1.282953293680888</v>
      </c>
      <c r="M554">
        <v>12.74</v>
      </c>
      <c r="N554">
        <v>1.42</v>
      </c>
    </row>
    <row r="555" spans="1:14">
      <c r="A555" s="1" t="s">
        <v>567</v>
      </c>
      <c r="B555">
        <f>HYPERLINK("https://www.suredividend.com/sure-analysis-research-database/","EVO Payments Inc")</f>
        <v>0</v>
      </c>
      <c r="C555" t="s">
        <v>1920</v>
      </c>
      <c r="D555">
        <v>33.48</v>
      </c>
      <c r="E555">
        <v>0</v>
      </c>
      <c r="H555">
        <v>0</v>
      </c>
      <c r="I555">
        <v>1616.872942</v>
      </c>
      <c r="J555">
        <v>526.84032</v>
      </c>
      <c r="K555">
        <v>0</v>
      </c>
      <c r="L555">
        <v>0.784322456060894</v>
      </c>
      <c r="M555">
        <v>33.86</v>
      </c>
      <c r="N555">
        <v>20.07</v>
      </c>
    </row>
    <row r="556" spans="1:14">
      <c r="A556" s="1" t="s">
        <v>568</v>
      </c>
      <c r="B556">
        <f>HYPERLINK("https://www.suredividend.com/sure-analysis-research-database/","Everi Holdings Inc")</f>
        <v>0</v>
      </c>
      <c r="C556" t="s">
        <v>1927</v>
      </c>
      <c r="D556">
        <v>17.31</v>
      </c>
      <c r="E556">
        <v>0</v>
      </c>
      <c r="H556">
        <v>0</v>
      </c>
      <c r="I556">
        <v>1555.300834</v>
      </c>
      <c r="J556">
        <v>9.707282700411932</v>
      </c>
      <c r="K556">
        <v>0</v>
      </c>
      <c r="L556">
        <v>1.444137756832779</v>
      </c>
      <c r="M556">
        <v>26.1</v>
      </c>
      <c r="N556">
        <v>15.05</v>
      </c>
    </row>
    <row r="557" spans="1:14">
      <c r="A557" s="1" t="s">
        <v>569</v>
      </c>
      <c r="B557">
        <f>HYPERLINK("https://www.suredividend.com/sure-analysis-research-database/","Evertec Inc")</f>
        <v>0</v>
      </c>
      <c r="C557" t="s">
        <v>1920</v>
      </c>
      <c r="D557">
        <v>32.19</v>
      </c>
      <c r="E557">
        <v>0.006201388071724</v>
      </c>
      <c r="H557">
        <v>0.199622682028818</v>
      </c>
      <c r="I557">
        <v>2149.589099</v>
      </c>
      <c r="J557">
        <v>14.43481334676363</v>
      </c>
      <c r="K557">
        <v>0.09737691806283807</v>
      </c>
      <c r="L557">
        <v>0.792442571633991</v>
      </c>
      <c r="M557">
        <v>50.87</v>
      </c>
      <c r="N557">
        <v>30.72</v>
      </c>
    </row>
    <row r="558" spans="1:14">
      <c r="A558" s="1" t="s">
        <v>570</v>
      </c>
      <c r="B558">
        <f>HYPERLINK("https://www.suredividend.com/sure-analysis-research-database/","European Wax Center Inc")</f>
        <v>0</v>
      </c>
      <c r="C558" t="s">
        <v>1921</v>
      </c>
      <c r="D558">
        <v>16.98</v>
      </c>
      <c r="E558">
        <v>0</v>
      </c>
      <c r="H558">
        <v>0</v>
      </c>
      <c r="I558">
        <v>670.774711</v>
      </c>
      <c r="J558">
        <v>0</v>
      </c>
      <c r="K558" t="s">
        <v>1921</v>
      </c>
      <c r="L558">
        <v>1.447359913058498</v>
      </c>
      <c r="M558">
        <v>31.25</v>
      </c>
      <c r="N558">
        <v>16.3</v>
      </c>
    </row>
    <row r="559" spans="1:14">
      <c r="A559" s="1" t="s">
        <v>571</v>
      </c>
      <c r="B559">
        <f>HYPERLINK("https://www.suredividend.com/sure-analysis-research-database/","Edgewise Therapeutics Inc")</f>
        <v>0</v>
      </c>
      <c r="C559" t="s">
        <v>1921</v>
      </c>
      <c r="D559">
        <v>10.13</v>
      </c>
      <c r="E559">
        <v>0</v>
      </c>
      <c r="H559">
        <v>0</v>
      </c>
      <c r="I559">
        <v>504.469918</v>
      </c>
      <c r="J559">
        <v>0</v>
      </c>
      <c r="K559" t="s">
        <v>1921</v>
      </c>
      <c r="L559">
        <v>1.534502832211036</v>
      </c>
      <c r="M559">
        <v>22.98</v>
      </c>
      <c r="N559">
        <v>5.41</v>
      </c>
    </row>
    <row r="560" spans="1:14">
      <c r="A560" s="1" t="s">
        <v>572</v>
      </c>
      <c r="B560">
        <f>HYPERLINK("https://www.suredividend.com/sure-analysis-research-database/","Exlservice Hldgs Inc")</f>
        <v>0</v>
      </c>
      <c r="C560" t="s">
        <v>1920</v>
      </c>
      <c r="D560">
        <v>155.31</v>
      </c>
      <c r="E560">
        <v>0</v>
      </c>
      <c r="H560">
        <v>0</v>
      </c>
      <c r="I560">
        <v>5134.968558</v>
      </c>
      <c r="J560">
        <v>40.48701851486241</v>
      </c>
      <c r="K560">
        <v>0</v>
      </c>
      <c r="L560">
        <v>0.9836239582168951</v>
      </c>
      <c r="M560">
        <v>179.81</v>
      </c>
      <c r="N560">
        <v>112.14</v>
      </c>
    </row>
    <row r="561" spans="1:14">
      <c r="A561" s="1" t="s">
        <v>573</v>
      </c>
      <c r="B561">
        <f>HYPERLINK("https://www.suredividend.com/sure-analysis-research-database/","eXp World Holdings Inc")</f>
        <v>0</v>
      </c>
      <c r="C561" t="s">
        <v>1929</v>
      </c>
      <c r="D561">
        <v>12.77</v>
      </c>
      <c r="E561">
        <v>0.012873253209563</v>
      </c>
      <c r="H561">
        <v>0.164391443486129</v>
      </c>
      <c r="I561">
        <v>1938.471685</v>
      </c>
      <c r="J561">
        <v>33.67448423225918</v>
      </c>
      <c r="K561">
        <v>0.4480551743966449</v>
      </c>
      <c r="L561">
        <v>1.996639422194991</v>
      </c>
      <c r="M561">
        <v>54.98</v>
      </c>
      <c r="N561">
        <v>10.46</v>
      </c>
    </row>
    <row r="562" spans="1:14">
      <c r="A562" s="1" t="s">
        <v>574</v>
      </c>
      <c r="B562">
        <f>HYPERLINK("https://www.suredividend.com/sure-analysis-EXPO/","Exponent Inc.")</f>
        <v>0</v>
      </c>
      <c r="C562" t="s">
        <v>1924</v>
      </c>
      <c r="D562">
        <v>88.76000000000001</v>
      </c>
      <c r="E562">
        <v>0.01081568273997296</v>
      </c>
      <c r="F562">
        <v>0.2</v>
      </c>
      <c r="G562">
        <v>0.02706608708935176</v>
      </c>
      <c r="H562">
        <v>0.916613566809456</v>
      </c>
      <c r="I562">
        <v>4599.685837</v>
      </c>
      <c r="J562">
        <v>45.85105202775176</v>
      </c>
      <c r="K562">
        <v>0.4849807231796063</v>
      </c>
      <c r="L562">
        <v>0.8257057529692801</v>
      </c>
      <c r="M562">
        <v>126.41</v>
      </c>
      <c r="N562">
        <v>80.77</v>
      </c>
    </row>
    <row r="563" spans="1:14">
      <c r="A563" s="1" t="s">
        <v>575</v>
      </c>
      <c r="B563">
        <f>HYPERLINK("https://www.suredividend.com/sure-analysis-research-database/","Extreme Networks Inc.")</f>
        <v>0</v>
      </c>
      <c r="C563" t="s">
        <v>1920</v>
      </c>
      <c r="D563">
        <v>13.63</v>
      </c>
      <c r="E563">
        <v>0</v>
      </c>
      <c r="H563">
        <v>0</v>
      </c>
      <c r="I563">
        <v>1788.627813</v>
      </c>
      <c r="J563">
        <v>40.40179378758104</v>
      </c>
      <c r="K563">
        <v>0</v>
      </c>
      <c r="L563">
        <v>1.414126365259232</v>
      </c>
      <c r="M563">
        <v>16.61</v>
      </c>
      <c r="N563">
        <v>8.49</v>
      </c>
    </row>
    <row r="564" spans="1:14">
      <c r="A564" s="1" t="s">
        <v>576</v>
      </c>
      <c r="B564">
        <f>HYPERLINK("https://www.suredividend.com/sure-analysis-research-database/","National Vision Holdings Inc")</f>
        <v>0</v>
      </c>
      <c r="C564" t="s">
        <v>1927</v>
      </c>
      <c r="D564">
        <v>33.18</v>
      </c>
      <c r="E564">
        <v>0</v>
      </c>
      <c r="H564">
        <v>0</v>
      </c>
      <c r="I564">
        <v>2617.473845</v>
      </c>
      <c r="J564">
        <v>30.05412489413494</v>
      </c>
      <c r="K564">
        <v>0</v>
      </c>
      <c r="L564">
        <v>1.235442570728087</v>
      </c>
      <c r="M564">
        <v>65.92</v>
      </c>
      <c r="N564">
        <v>22.59</v>
      </c>
    </row>
    <row r="565" spans="1:14">
      <c r="A565" s="1" t="s">
        <v>577</v>
      </c>
      <c r="B565">
        <f>HYPERLINK("https://www.suredividend.com/sure-analysis-research-database/","EyePoint Pharmaceuticals Inc")</f>
        <v>0</v>
      </c>
      <c r="C565" t="s">
        <v>1922</v>
      </c>
      <c r="D565">
        <v>6.01</v>
      </c>
      <c r="E565">
        <v>0</v>
      </c>
      <c r="H565">
        <v>0</v>
      </c>
      <c r="I565">
        <v>204.773652</v>
      </c>
      <c r="J565">
        <v>0</v>
      </c>
      <c r="K565" t="s">
        <v>1921</v>
      </c>
      <c r="L565">
        <v>1.076539936041898</v>
      </c>
      <c r="M565">
        <v>21.5</v>
      </c>
      <c r="N565">
        <v>5.91</v>
      </c>
    </row>
    <row r="566" spans="1:14">
      <c r="A566" s="1" t="s">
        <v>578</v>
      </c>
      <c r="B566">
        <f>HYPERLINK("https://www.suredividend.com/sure-analysis-research-database/","EZCorp, Inc.")</f>
        <v>0</v>
      </c>
      <c r="C566" t="s">
        <v>1923</v>
      </c>
      <c r="D566">
        <v>7.79</v>
      </c>
      <c r="E566">
        <v>0</v>
      </c>
      <c r="H566">
        <v>0</v>
      </c>
      <c r="I566">
        <v>418.208744</v>
      </c>
      <c r="J566">
        <v>9.424210025013521</v>
      </c>
      <c r="K566">
        <v>0</v>
      </c>
      <c r="L566">
        <v>0.6128803236040871</v>
      </c>
      <c r="M566">
        <v>9.619999999999999</v>
      </c>
      <c r="N566">
        <v>5.51</v>
      </c>
    </row>
    <row r="567" spans="1:14">
      <c r="A567" s="1" t="s">
        <v>579</v>
      </c>
      <c r="B567">
        <f>HYPERLINK("https://www.suredividend.com/sure-analysis-research-database/","First Advantage Corp.")</f>
        <v>0</v>
      </c>
      <c r="C567" t="s">
        <v>1921</v>
      </c>
      <c r="D567">
        <v>12.99</v>
      </c>
      <c r="E567">
        <v>0</v>
      </c>
      <c r="H567">
        <v>0</v>
      </c>
      <c r="I567">
        <v>1990.539446</v>
      </c>
      <c r="J567">
        <v>0</v>
      </c>
      <c r="K567" t="s">
        <v>1921</v>
      </c>
      <c r="L567">
        <v>1.082927224438916</v>
      </c>
      <c r="M567">
        <v>24.6</v>
      </c>
      <c r="N567">
        <v>11.68</v>
      </c>
    </row>
    <row r="568" spans="1:14">
      <c r="A568" s="1" t="s">
        <v>580</v>
      </c>
      <c r="B568">
        <f>HYPERLINK("https://www.suredividend.com/sure-analysis-research-database/","Faro Technologies Inc.")</f>
        <v>0</v>
      </c>
      <c r="C568" t="s">
        <v>1920</v>
      </c>
      <c r="D568">
        <v>26.29</v>
      </c>
      <c r="E568">
        <v>0</v>
      </c>
      <c r="H568">
        <v>0</v>
      </c>
      <c r="I568">
        <v>493.579712</v>
      </c>
      <c r="J568" t="s">
        <v>1921</v>
      </c>
      <c r="K568">
        <v>-0</v>
      </c>
      <c r="L568">
        <v>1.12789439456233</v>
      </c>
      <c r="M568">
        <v>83.39</v>
      </c>
      <c r="N568">
        <v>25.91</v>
      </c>
    </row>
    <row r="569" spans="1:14">
      <c r="A569" s="1" t="s">
        <v>581</v>
      </c>
      <c r="B569">
        <f>HYPERLINK("https://www.suredividend.com/sure-analysis-research-database/","Fate Therapeutics Inc")</f>
        <v>0</v>
      </c>
      <c r="C569" t="s">
        <v>1922</v>
      </c>
      <c r="D569">
        <v>21.32</v>
      </c>
      <c r="E569">
        <v>0</v>
      </c>
      <c r="H569">
        <v>0</v>
      </c>
      <c r="I569">
        <v>2068.046268</v>
      </c>
      <c r="J569" t="s">
        <v>1921</v>
      </c>
      <c r="K569">
        <v>-0</v>
      </c>
      <c r="L569">
        <v>2.139449057528201</v>
      </c>
      <c r="M569">
        <v>66.56</v>
      </c>
      <c r="N569">
        <v>17.1</v>
      </c>
    </row>
    <row r="570" spans="1:14">
      <c r="A570" s="1" t="s">
        <v>582</v>
      </c>
      <c r="B570">
        <f>HYPERLINK("https://www.suredividend.com/sure-analysis-research-database/","Flagstar Bancorp, Inc.")</f>
        <v>0</v>
      </c>
      <c r="C570" t="s">
        <v>1923</v>
      </c>
      <c r="D570">
        <v>32.25</v>
      </c>
      <c r="E570">
        <v>0.007424687195945001</v>
      </c>
      <c r="H570">
        <v>0.239446162069253</v>
      </c>
      <c r="I570">
        <v>1716.863161</v>
      </c>
      <c r="J570">
        <v>4.905323316428571</v>
      </c>
      <c r="K570">
        <v>0.03666863125103415</v>
      </c>
      <c r="L570">
        <v>0.8328106509237531</v>
      </c>
      <c r="M570">
        <v>56.44</v>
      </c>
      <c r="N570">
        <v>32.14</v>
      </c>
    </row>
    <row r="571" spans="1:14">
      <c r="A571" s="1" t="s">
        <v>583</v>
      </c>
      <c r="B571">
        <f>HYPERLINK("https://www.suredividend.com/sure-analysis-research-database/","Fortress Biotech Inc")</f>
        <v>0</v>
      </c>
      <c r="C571" t="s">
        <v>1922</v>
      </c>
      <c r="D571">
        <v>0.8547</v>
      </c>
      <c r="E571">
        <v>0</v>
      </c>
      <c r="H571">
        <v>0</v>
      </c>
      <c r="I571">
        <v>92.080952</v>
      </c>
      <c r="J571">
        <v>0</v>
      </c>
      <c r="K571" t="s">
        <v>1921</v>
      </c>
      <c r="L571">
        <v>1.466700593948035</v>
      </c>
      <c r="M571">
        <v>3.69</v>
      </c>
      <c r="N571">
        <v>0.752</v>
      </c>
    </row>
    <row r="572" spans="1:14">
      <c r="A572" s="1" t="s">
        <v>584</v>
      </c>
      <c r="B572">
        <f>HYPERLINK("https://www.suredividend.com/sure-analysis-research-database/","FB Financial Corp")</f>
        <v>0</v>
      </c>
      <c r="C572" t="s">
        <v>1923</v>
      </c>
      <c r="D572">
        <v>39.31</v>
      </c>
      <c r="E572">
        <v>0.012662554279808</v>
      </c>
      <c r="H572">
        <v>0.497765008739267</v>
      </c>
      <c r="I572">
        <v>1843.007485</v>
      </c>
      <c r="J572">
        <v>12.39429908169579</v>
      </c>
      <c r="K572">
        <v>0.1595400669036112</v>
      </c>
      <c r="L572">
        <v>0.7795888894826251</v>
      </c>
      <c r="M572">
        <v>47.59</v>
      </c>
      <c r="N572">
        <v>36.89</v>
      </c>
    </row>
    <row r="573" spans="1:14">
      <c r="A573" s="1" t="s">
        <v>585</v>
      </c>
      <c r="B573">
        <f>HYPERLINK("https://www.suredividend.com/sure-analysis-research-database/","First Bancshares Inc Miss")</f>
        <v>0</v>
      </c>
      <c r="C573" t="s">
        <v>1923</v>
      </c>
      <c r="D573">
        <v>30.14</v>
      </c>
      <c r="E573">
        <v>0.023031146777224</v>
      </c>
      <c r="F573">
        <v>0.2666666666666668</v>
      </c>
      <c r="G573">
        <v>0.3833894732686876</v>
      </c>
      <c r="H573">
        <v>0.6941587638655401</v>
      </c>
      <c r="I573">
        <v>724.207537</v>
      </c>
      <c r="J573">
        <v>11.22715350437951</v>
      </c>
      <c r="K573">
        <v>0.2253762220342663</v>
      </c>
      <c r="L573">
        <v>0.5850955306069511</v>
      </c>
      <c r="M573">
        <v>42.1</v>
      </c>
      <c r="N573">
        <v>26.77</v>
      </c>
    </row>
    <row r="574" spans="1:14">
      <c r="A574" s="1" t="s">
        <v>586</v>
      </c>
      <c r="B574">
        <f>HYPERLINK("https://www.suredividend.com/sure-analysis-research-database/","First Bancorp")</f>
        <v>0</v>
      </c>
      <c r="C574" t="s">
        <v>1923</v>
      </c>
      <c r="D574">
        <v>38.51</v>
      </c>
      <c r="E574">
        <v>0.02214207845079</v>
      </c>
      <c r="F574">
        <v>0.09999999999999987</v>
      </c>
      <c r="G574">
        <v>0.2242399253642746</v>
      </c>
      <c r="H574">
        <v>0.8526914411399271</v>
      </c>
      <c r="I574">
        <v>1374.175243</v>
      </c>
      <c r="J574">
        <v>12.69950413050912</v>
      </c>
      <c r="K574">
        <v>0.2648110065651947</v>
      </c>
      <c r="L574">
        <v>0.697929944639874</v>
      </c>
      <c r="M574">
        <v>49.84</v>
      </c>
      <c r="N574">
        <v>32.71</v>
      </c>
    </row>
    <row r="575" spans="1:14">
      <c r="A575" s="1" t="s">
        <v>587</v>
      </c>
      <c r="B575">
        <f>HYPERLINK("https://www.suredividend.com/sure-analysis-research-database/","First Bancorp PR")</f>
        <v>0</v>
      </c>
      <c r="C575" t="s">
        <v>1923</v>
      </c>
      <c r="D575">
        <v>14.59</v>
      </c>
      <c r="E575">
        <v>0.029817606445221</v>
      </c>
      <c r="H575">
        <v>0.4350388780357861</v>
      </c>
      <c r="I575">
        <v>2742.716951</v>
      </c>
      <c r="J575">
        <v>9.014296680733445</v>
      </c>
      <c r="K575">
        <v>0.2881052172422424</v>
      </c>
      <c r="L575">
        <v>1.06297259034782</v>
      </c>
      <c r="M575">
        <v>16.27</v>
      </c>
      <c r="N575">
        <v>11.74</v>
      </c>
    </row>
    <row r="576" spans="1:14">
      <c r="A576" s="1" t="s">
        <v>588</v>
      </c>
      <c r="B576">
        <f>HYPERLINK("https://www.suredividend.com/sure-analysis-research-database/","Franklin BSP Realty Trust Inc.")</f>
        <v>0</v>
      </c>
      <c r="C576" t="s">
        <v>1921</v>
      </c>
      <c r="D576">
        <v>11</v>
      </c>
      <c r="E576">
        <v>0.118072823581004</v>
      </c>
      <c r="H576">
        <v>1.298801059391052</v>
      </c>
      <c r="I576">
        <v>921.54238</v>
      </c>
      <c r="J576">
        <v>0</v>
      </c>
      <c r="K576" t="s">
        <v>1921</v>
      </c>
      <c r="M576">
        <v>15.67</v>
      </c>
      <c r="N576">
        <v>10.34</v>
      </c>
    </row>
    <row r="577" spans="1:14">
      <c r="A577" s="1" t="s">
        <v>589</v>
      </c>
      <c r="B577">
        <f>HYPERLINK("https://www.suredividend.com/sure-analysis-research-database/","Forte Biosciences Inc")</f>
        <v>0</v>
      </c>
      <c r="C577" t="s">
        <v>1921</v>
      </c>
      <c r="D577">
        <v>1.08</v>
      </c>
      <c r="E577">
        <v>0</v>
      </c>
      <c r="H577">
        <v>0</v>
      </c>
      <c r="I577">
        <v>21.967486</v>
      </c>
      <c r="J577" t="s">
        <v>1921</v>
      </c>
      <c r="K577">
        <v>-0</v>
      </c>
      <c r="L577">
        <v>1.216578602893234</v>
      </c>
      <c r="M577">
        <v>3.48</v>
      </c>
      <c r="N577">
        <v>1.03</v>
      </c>
    </row>
    <row r="578" spans="1:14">
      <c r="A578" s="1" t="s">
        <v>590</v>
      </c>
      <c r="B578">
        <f>HYPERLINK("https://www.suredividend.com/sure-analysis-research-database/","Franklin Covey Co.")</f>
        <v>0</v>
      </c>
      <c r="C578" t="s">
        <v>1924</v>
      </c>
      <c r="D578">
        <v>46.82</v>
      </c>
      <c r="E578">
        <v>0</v>
      </c>
      <c r="H578">
        <v>0</v>
      </c>
      <c r="I578">
        <v>648.838115</v>
      </c>
      <c r="J578">
        <v>44.26209937922096</v>
      </c>
      <c r="K578">
        <v>0</v>
      </c>
      <c r="L578">
        <v>0.9416870300080531</v>
      </c>
      <c r="M578">
        <v>54.1</v>
      </c>
      <c r="N578">
        <v>34</v>
      </c>
    </row>
    <row r="579" spans="1:14">
      <c r="A579" s="1" t="s">
        <v>591</v>
      </c>
      <c r="B579">
        <f>HYPERLINK("https://www.suredividend.com/sure-analysis-research-database/","First Community Bankshares Inc.")</f>
        <v>0</v>
      </c>
      <c r="C579" t="s">
        <v>1923</v>
      </c>
      <c r="D579">
        <v>33.05</v>
      </c>
      <c r="E579">
        <v>0.032832688036252</v>
      </c>
      <c r="F579">
        <v>0.07407407407407396</v>
      </c>
      <c r="G579">
        <v>0.100082101138866</v>
      </c>
      <c r="H579">
        <v>1.085120339598159</v>
      </c>
      <c r="I579">
        <v>542.431274</v>
      </c>
      <c r="J579">
        <v>12.35859912510538</v>
      </c>
      <c r="K579">
        <v>0.4189653820842313</v>
      </c>
      <c r="L579">
        <v>0.5828536613619211</v>
      </c>
      <c r="M579">
        <v>35.72</v>
      </c>
      <c r="N579">
        <v>26.02</v>
      </c>
    </row>
    <row r="580" spans="1:14">
      <c r="A580" s="1" t="s">
        <v>592</v>
      </c>
      <c r="B580">
        <f>HYPERLINK("https://www.suredividend.com/sure-analysis-research-database/","Fuelcell Energy Inc")</f>
        <v>0</v>
      </c>
      <c r="C580" t="s">
        <v>1924</v>
      </c>
      <c r="D580">
        <v>3.11</v>
      </c>
      <c r="E580">
        <v>0</v>
      </c>
      <c r="H580">
        <v>0</v>
      </c>
      <c r="I580">
        <v>1261.300893</v>
      </c>
      <c r="J580" t="s">
        <v>1921</v>
      </c>
      <c r="K580">
        <v>-0</v>
      </c>
      <c r="L580">
        <v>2.124697247047085</v>
      </c>
      <c r="M580">
        <v>11.63</v>
      </c>
      <c r="N580">
        <v>2.87</v>
      </c>
    </row>
    <row r="581" spans="1:14">
      <c r="A581" s="1" t="s">
        <v>593</v>
      </c>
      <c r="B581">
        <f>HYPERLINK("https://www.suredividend.com/sure-analysis-research-database/","First Commonwealth Financial Corp.")</f>
        <v>0</v>
      </c>
      <c r="C581" t="s">
        <v>1923</v>
      </c>
      <c r="D581">
        <v>13.2</v>
      </c>
      <c r="E581">
        <v>0.035182573398046</v>
      </c>
      <c r="F581">
        <v>0.04347826086956519</v>
      </c>
      <c r="G581">
        <v>0.08447177119769855</v>
      </c>
      <c r="H581">
        <v>0.464409968854216</v>
      </c>
      <c r="I581">
        <v>1232.600424</v>
      </c>
      <c r="J581">
        <v>9.678993184031158</v>
      </c>
      <c r="K581">
        <v>0.3465746036225493</v>
      </c>
      <c r="L581">
        <v>0.6593594519016931</v>
      </c>
      <c r="M581">
        <v>17.22</v>
      </c>
      <c r="N581">
        <v>12.76</v>
      </c>
    </row>
    <row r="582" spans="1:14">
      <c r="A582" s="1" t="s">
        <v>594</v>
      </c>
      <c r="B582">
        <f>HYPERLINK("https://www.suredividend.com/sure-analysis-research-database/","FirstCash Holdings Inc")</f>
        <v>0</v>
      </c>
      <c r="C582" t="s">
        <v>1923</v>
      </c>
      <c r="D582">
        <v>77.5</v>
      </c>
      <c r="E582">
        <v>0.011951360144644</v>
      </c>
      <c r="F582">
        <v>0.09999999999999987</v>
      </c>
      <c r="G582">
        <v>0.1053422964928694</v>
      </c>
      <c r="H582">
        <v>0.9262304112099491</v>
      </c>
      <c r="I582">
        <v>3628.672838</v>
      </c>
      <c r="J582">
        <v>20.51488487957938</v>
      </c>
      <c r="K582">
        <v>0.2333074083652265</v>
      </c>
      <c r="M582">
        <v>82.5</v>
      </c>
      <c r="N582">
        <v>57.81</v>
      </c>
    </row>
    <row r="583" spans="1:14">
      <c r="A583" s="1" t="s">
        <v>595</v>
      </c>
      <c r="B583">
        <f>HYPERLINK("https://www.suredividend.com/sure-analysis-FCPT/","Four Corners Property Trust Inc")</f>
        <v>0</v>
      </c>
      <c r="C583" t="s">
        <v>1929</v>
      </c>
      <c r="D583">
        <v>22.8</v>
      </c>
      <c r="E583">
        <v>0.05833333333333333</v>
      </c>
      <c r="F583">
        <v>0.04724409448818911</v>
      </c>
      <c r="G583">
        <v>0.03870396912358731</v>
      </c>
      <c r="H583">
        <v>1.304734320854848</v>
      </c>
      <c r="I583">
        <v>1857.280294</v>
      </c>
      <c r="J583">
        <v>19.49921042320655</v>
      </c>
      <c r="K583">
        <v>1.078292827152767</v>
      </c>
      <c r="L583">
        <v>0.5657732203914221</v>
      </c>
      <c r="M583">
        <v>29.36</v>
      </c>
      <c r="N583">
        <v>22.79</v>
      </c>
    </row>
    <row r="584" spans="1:14">
      <c r="A584" s="1" t="s">
        <v>596</v>
      </c>
      <c r="B584">
        <f>HYPERLINK("https://www.suredividend.com/sure-analysis-research-database/","Fidelity D&amp;D Bancorp, Inc.")</f>
        <v>0</v>
      </c>
      <c r="C584" t="s">
        <v>1923</v>
      </c>
      <c r="D584">
        <v>41.53</v>
      </c>
      <c r="E584">
        <v>0.031396373041972</v>
      </c>
      <c r="F584">
        <v>0.09999999999999987</v>
      </c>
      <c r="G584">
        <v>0.7518494810508827</v>
      </c>
      <c r="H584">
        <v>1.303891372433097</v>
      </c>
      <c r="I584">
        <v>233.911246</v>
      </c>
      <c r="J584">
        <v>0</v>
      </c>
      <c r="K584" t="s">
        <v>1921</v>
      </c>
      <c r="M584">
        <v>58.24</v>
      </c>
      <c r="N584">
        <v>33.61</v>
      </c>
    </row>
    <row r="585" spans="1:14">
      <c r="A585" s="1" t="s">
        <v>597</v>
      </c>
      <c r="B585">
        <f>HYPERLINK("https://www.suredividend.com/sure-analysis-research-database/","4D Molecular Therapeutics Inc")</f>
        <v>0</v>
      </c>
      <c r="C585" t="s">
        <v>1921</v>
      </c>
      <c r="D585">
        <v>7.04</v>
      </c>
      <c r="E585">
        <v>0</v>
      </c>
      <c r="H585">
        <v>0</v>
      </c>
      <c r="I585">
        <v>227.971941</v>
      </c>
      <c r="J585">
        <v>0</v>
      </c>
      <c r="K585" t="s">
        <v>1921</v>
      </c>
      <c r="L585">
        <v>1.320948528319016</v>
      </c>
      <c r="M585">
        <v>34</v>
      </c>
      <c r="N585">
        <v>5.32</v>
      </c>
    </row>
    <row r="586" spans="1:14">
      <c r="A586" s="1" t="s">
        <v>598</v>
      </c>
      <c r="B586">
        <f>HYPERLINK("https://www.suredividend.com/sure-analysis-research-database/","Fresh Del Monte Produce Inc")</f>
        <v>0</v>
      </c>
      <c r="C586" t="s">
        <v>1928</v>
      </c>
      <c r="D586">
        <v>24.23</v>
      </c>
      <c r="E586">
        <v>0.024558270571822</v>
      </c>
      <c r="H586">
        <v>0.5950468959552611</v>
      </c>
      <c r="I586">
        <v>1158.651002</v>
      </c>
      <c r="J586">
        <v>31.23048522991914</v>
      </c>
      <c r="K586">
        <v>0.7671095732309668</v>
      </c>
      <c r="L586">
        <v>0.486222011137539</v>
      </c>
      <c r="M586">
        <v>33.26</v>
      </c>
      <c r="N586">
        <v>22.51</v>
      </c>
    </row>
    <row r="587" spans="1:14">
      <c r="A587" s="1" t="s">
        <v>599</v>
      </c>
      <c r="B587">
        <f>HYPERLINK("https://www.suredividend.com/sure-analysis-FELE/","Franklin Electric Co., Inc.")</f>
        <v>0</v>
      </c>
      <c r="C587" t="s">
        <v>1924</v>
      </c>
      <c r="D587">
        <v>84.84999999999999</v>
      </c>
      <c r="E587">
        <v>0.009192692987625222</v>
      </c>
      <c r="F587">
        <v>0.1142857142857143</v>
      </c>
      <c r="G587">
        <v>0.1264845234709517</v>
      </c>
      <c r="H587">
        <v>0.7573763557489911</v>
      </c>
      <c r="I587">
        <v>3927.852272</v>
      </c>
      <c r="J587">
        <v>22.32151505764429</v>
      </c>
      <c r="K587">
        <v>0.2025070469917089</v>
      </c>
      <c r="L587">
        <v>0.959283690715874</v>
      </c>
      <c r="M587">
        <v>96.26000000000001</v>
      </c>
      <c r="N587">
        <v>67.94</v>
      </c>
    </row>
    <row r="588" spans="1:14">
      <c r="A588" s="1" t="s">
        <v>600</v>
      </c>
      <c r="B588">
        <f>HYPERLINK("https://www.suredividend.com/sure-analysis-research-database/","Futurefuel Corp")</f>
        <v>0</v>
      </c>
      <c r="C588" t="s">
        <v>1925</v>
      </c>
      <c r="D588">
        <v>6.07</v>
      </c>
      <c r="E588">
        <v>0.03921267649090601</v>
      </c>
      <c r="F588">
        <v>0</v>
      </c>
      <c r="G588">
        <v>0</v>
      </c>
      <c r="H588">
        <v>0.238020946299799</v>
      </c>
      <c r="I588">
        <v>265.642885</v>
      </c>
      <c r="J588">
        <v>16.55611623621066</v>
      </c>
      <c r="K588">
        <v>0.6492660837419504</v>
      </c>
      <c r="L588">
        <v>0.6727462170509031</v>
      </c>
      <c r="M588">
        <v>10.54</v>
      </c>
      <c r="N588">
        <v>5.77</v>
      </c>
    </row>
    <row r="589" spans="1:14">
      <c r="A589" s="1" t="s">
        <v>601</v>
      </c>
      <c r="B589">
        <f>HYPERLINK("https://www.suredividend.com/sure-analysis-research-database/","First Financial Bancorp")</f>
        <v>0</v>
      </c>
      <c r="C589" t="s">
        <v>1923</v>
      </c>
      <c r="D589">
        <v>22.09</v>
      </c>
      <c r="E589">
        <v>0.041226072478669</v>
      </c>
      <c r="F589">
        <v>0</v>
      </c>
      <c r="G589">
        <v>0.06232103966616465</v>
      </c>
      <c r="H589">
        <v>0.910683941053799</v>
      </c>
      <c r="I589">
        <v>2095.765268</v>
      </c>
      <c r="J589">
        <v>10.49047076419826</v>
      </c>
      <c r="K589">
        <v>0.4295678967234901</v>
      </c>
      <c r="L589">
        <v>0.74105037348638</v>
      </c>
      <c r="M589">
        <v>26.31</v>
      </c>
      <c r="N589">
        <v>18.55</v>
      </c>
    </row>
    <row r="590" spans="1:14">
      <c r="A590" s="1" t="s">
        <v>602</v>
      </c>
      <c r="B590">
        <f>HYPERLINK("https://www.suredividend.com/sure-analysis-research-database/","Flushing Financial Corp.")</f>
        <v>0</v>
      </c>
      <c r="C590" t="s">
        <v>1923</v>
      </c>
      <c r="D590">
        <v>19.44</v>
      </c>
      <c r="E590">
        <v>0.04408800690309801</v>
      </c>
      <c r="F590">
        <v>0.04761904761904767</v>
      </c>
      <c r="G590">
        <v>0.04095039696925684</v>
      </c>
      <c r="H590">
        <v>0.8570708541962421</v>
      </c>
      <c r="I590">
        <v>582.854065</v>
      </c>
      <c r="J590">
        <v>6.718778849567724</v>
      </c>
      <c r="K590">
        <v>0.309411860720665</v>
      </c>
      <c r="L590">
        <v>0.4222218677751921</v>
      </c>
      <c r="M590">
        <v>25.19</v>
      </c>
      <c r="N590">
        <v>19.33</v>
      </c>
    </row>
    <row r="591" spans="1:14">
      <c r="A591" s="1" t="s">
        <v>603</v>
      </c>
      <c r="B591">
        <f>HYPERLINK("https://www.suredividend.com/sure-analysis-research-database/","First Financial Bankshares, Inc.")</f>
        <v>0</v>
      </c>
      <c r="C591" t="s">
        <v>1923</v>
      </c>
      <c r="D591">
        <v>43.15</v>
      </c>
      <c r="E591">
        <v>0.014746210585905</v>
      </c>
      <c r="F591">
        <v>0.1333333333333335</v>
      </c>
      <c r="G591">
        <v>-0.02199952867696764</v>
      </c>
      <c r="H591">
        <v>0.6362989867818071</v>
      </c>
      <c r="I591">
        <v>6150.711205</v>
      </c>
      <c r="J591">
        <v>26.65749814762645</v>
      </c>
      <c r="K591">
        <v>0.3952167619762777</v>
      </c>
      <c r="L591">
        <v>0.7419985042484011</v>
      </c>
      <c r="M591">
        <v>54.2</v>
      </c>
      <c r="N591">
        <v>37.32</v>
      </c>
    </row>
    <row r="592" spans="1:14">
      <c r="A592" s="1" t="s">
        <v>604</v>
      </c>
      <c r="B592">
        <f>HYPERLINK("https://www.suredividend.com/sure-analysis-research-database/","First Foundation Inc")</f>
        <v>0</v>
      </c>
      <c r="C592" t="s">
        <v>1923</v>
      </c>
      <c r="D592">
        <v>18.03</v>
      </c>
      <c r="E592">
        <v>0.02312564588163</v>
      </c>
      <c r="H592">
        <v>0.4169553952458021</v>
      </c>
      <c r="I592">
        <v>1016.669708</v>
      </c>
      <c r="J592">
        <v>0</v>
      </c>
      <c r="K592" t="s">
        <v>1921</v>
      </c>
      <c r="L592">
        <v>0.7487018202754161</v>
      </c>
      <c r="M592">
        <v>28.99</v>
      </c>
      <c r="N592">
        <v>17.86</v>
      </c>
    </row>
    <row r="593" spans="1:14">
      <c r="A593" s="1" t="s">
        <v>605</v>
      </c>
      <c r="B593">
        <f>HYPERLINK("https://www.suredividend.com/sure-analysis-research-database/","FibroGen Inc")</f>
        <v>0</v>
      </c>
      <c r="C593" t="s">
        <v>1922</v>
      </c>
      <c r="D593">
        <v>13.96</v>
      </c>
      <c r="E593">
        <v>0</v>
      </c>
      <c r="H593">
        <v>0</v>
      </c>
      <c r="I593">
        <v>1308.626873</v>
      </c>
      <c r="J593" t="s">
        <v>1921</v>
      </c>
      <c r="K593">
        <v>-0</v>
      </c>
      <c r="L593">
        <v>1.305805791109653</v>
      </c>
      <c r="M593">
        <v>16.91</v>
      </c>
      <c r="N593">
        <v>7.81</v>
      </c>
    </row>
    <row r="594" spans="1:14">
      <c r="A594" s="1" t="s">
        <v>606</v>
      </c>
      <c r="B594">
        <f>HYPERLINK("https://www.suredividend.com/sure-analysis-research-database/","Federated Hermes Inc")</f>
        <v>0</v>
      </c>
      <c r="C594" t="s">
        <v>1923</v>
      </c>
      <c r="D594">
        <v>32.15</v>
      </c>
      <c r="E594">
        <v>0.03317672488927</v>
      </c>
      <c r="F594">
        <v>0</v>
      </c>
      <c r="G594">
        <v>0.01551127839748156</v>
      </c>
      <c r="H594">
        <v>1.066631705190061</v>
      </c>
      <c r="I594">
        <v>2865.614762</v>
      </c>
      <c r="J594">
        <v>11.85436433201646</v>
      </c>
      <c r="K594">
        <v>0.3950487797000226</v>
      </c>
      <c r="L594">
        <v>0.876770278699835</v>
      </c>
      <c r="M594">
        <v>38.83</v>
      </c>
      <c r="N594">
        <v>27.41</v>
      </c>
    </row>
    <row r="595" spans="1:14">
      <c r="A595" s="1" t="s">
        <v>607</v>
      </c>
      <c r="B595">
        <f>HYPERLINK("https://www.suredividend.com/sure-analysis-research-database/","Foghorn Therapeutics Inc")</f>
        <v>0</v>
      </c>
      <c r="C595" t="s">
        <v>1921</v>
      </c>
      <c r="D595">
        <v>7.74</v>
      </c>
      <c r="E595">
        <v>0</v>
      </c>
      <c r="H595">
        <v>0</v>
      </c>
      <c r="I595">
        <v>322.27353</v>
      </c>
      <c r="J595">
        <v>0</v>
      </c>
      <c r="K595" t="s">
        <v>1921</v>
      </c>
      <c r="L595">
        <v>1.458541520627364</v>
      </c>
      <c r="M595">
        <v>24.34</v>
      </c>
      <c r="N595">
        <v>7.35</v>
      </c>
    </row>
    <row r="596" spans="1:14">
      <c r="A596" s="1" t="s">
        <v>608</v>
      </c>
      <c r="B596">
        <f>HYPERLINK("https://www.suredividend.com/sure-analysis-research-database/","First Interstate BancSystem Inc.")</f>
        <v>0</v>
      </c>
      <c r="C596" t="s">
        <v>1923</v>
      </c>
      <c r="D596">
        <v>41.91</v>
      </c>
      <c r="E596">
        <v>0.038277824738966</v>
      </c>
      <c r="F596">
        <v>0</v>
      </c>
      <c r="G596">
        <v>0.07925772298130362</v>
      </c>
      <c r="H596">
        <v>1.604223634810068</v>
      </c>
      <c r="I596">
        <v>4516.139373</v>
      </c>
      <c r="J596">
        <v>35.03599202932506</v>
      </c>
      <c r="K596">
        <v>1.015331414436752</v>
      </c>
      <c r="L596">
        <v>0.6209219839660021</v>
      </c>
      <c r="M596">
        <v>44.1</v>
      </c>
      <c r="N596">
        <v>31.32</v>
      </c>
    </row>
    <row r="597" spans="1:14">
      <c r="A597" s="1" t="s">
        <v>609</v>
      </c>
      <c r="B597">
        <f>HYPERLINK("https://www.suredividend.com/sure-analysis-research-database/","Financial Institutions Inc.")</f>
        <v>0</v>
      </c>
      <c r="C597" t="s">
        <v>1923</v>
      </c>
      <c r="D597">
        <v>24.11</v>
      </c>
      <c r="E597">
        <v>0.046529820779875</v>
      </c>
      <c r="F597">
        <v>0.07407407407407396</v>
      </c>
      <c r="G597">
        <v>0.05680549653640732</v>
      </c>
      <c r="H597">
        <v>1.121833979002797</v>
      </c>
      <c r="I597">
        <v>369.704934</v>
      </c>
      <c r="J597">
        <v>5.605071847814552</v>
      </c>
      <c r="K597">
        <v>0.2677408064445816</v>
      </c>
      <c r="L597">
        <v>0.5372261042213871</v>
      </c>
      <c r="M597">
        <v>33.37</v>
      </c>
      <c r="N597">
        <v>23.69</v>
      </c>
    </row>
    <row r="598" spans="1:14">
      <c r="A598" s="1" t="s">
        <v>610</v>
      </c>
      <c r="B598">
        <f>HYPERLINK("https://www.suredividend.com/sure-analysis-research-database/","Comfort Systems USA, Inc.")</f>
        <v>0</v>
      </c>
      <c r="C598" t="s">
        <v>1924</v>
      </c>
      <c r="D598">
        <v>101.03</v>
      </c>
      <c r="E598">
        <v>0.005333570142960001</v>
      </c>
      <c r="F598">
        <v>0.1666666666666667</v>
      </c>
      <c r="G598">
        <v>0.1329568106011707</v>
      </c>
      <c r="H598">
        <v>0.538850591543322</v>
      </c>
      <c r="I598">
        <v>3614.46989</v>
      </c>
      <c r="J598">
        <v>16.97731277651479</v>
      </c>
      <c r="K598">
        <v>0.09179737504996968</v>
      </c>
      <c r="L598">
        <v>1.075599202903184</v>
      </c>
      <c r="M598">
        <v>108.86</v>
      </c>
      <c r="N598">
        <v>74.04000000000001</v>
      </c>
    </row>
    <row r="599" spans="1:14">
      <c r="A599" s="1" t="s">
        <v>611</v>
      </c>
      <c r="B599">
        <f>HYPERLINK("https://www.suredividend.com/sure-analysis-research-database/","Homology Medicines Inc")</f>
        <v>0</v>
      </c>
      <c r="C599" t="s">
        <v>1922</v>
      </c>
      <c r="D599">
        <v>1.49</v>
      </c>
      <c r="E599">
        <v>0</v>
      </c>
      <c r="H599">
        <v>0</v>
      </c>
      <c r="I599">
        <v>85.529022</v>
      </c>
      <c r="J599">
        <v>0</v>
      </c>
      <c r="K599" t="s">
        <v>1921</v>
      </c>
      <c r="L599">
        <v>1.401554876447406</v>
      </c>
      <c r="M599">
        <v>6.9</v>
      </c>
      <c r="N599">
        <v>1.3</v>
      </c>
    </row>
    <row r="600" spans="1:14">
      <c r="A600" s="1" t="s">
        <v>612</v>
      </c>
      <c r="B600">
        <f>HYPERLINK("https://www.suredividend.com/sure-analysis-research-database/","National Beverage Corp.")</f>
        <v>0</v>
      </c>
      <c r="C600" t="s">
        <v>1928</v>
      </c>
      <c r="D600">
        <v>40.34</v>
      </c>
      <c r="E600">
        <v>0</v>
      </c>
      <c r="H600">
        <v>0</v>
      </c>
      <c r="I600">
        <v>3765.264844</v>
      </c>
      <c r="J600">
        <v>26.86596392179808</v>
      </c>
      <c r="K600">
        <v>0</v>
      </c>
      <c r="L600">
        <v>0.7833357673067851</v>
      </c>
      <c r="M600">
        <v>60.9</v>
      </c>
      <c r="N600">
        <v>38.1</v>
      </c>
    </row>
    <row r="601" spans="1:14">
      <c r="A601" s="1" t="s">
        <v>613</v>
      </c>
      <c r="B601">
        <f>HYPERLINK("https://www.suredividend.com/sure-analysis-research-database/","Fulgent Genetics Inc")</f>
        <v>0</v>
      </c>
      <c r="C601" t="s">
        <v>1922</v>
      </c>
      <c r="D601">
        <v>37.36</v>
      </c>
      <c r="E601">
        <v>0</v>
      </c>
      <c r="H601">
        <v>0</v>
      </c>
      <c r="I601">
        <v>1133.024304</v>
      </c>
      <c r="J601">
        <v>0</v>
      </c>
      <c r="K601" t="s">
        <v>1921</v>
      </c>
      <c r="L601">
        <v>1.172130090657999</v>
      </c>
      <c r="M601">
        <v>109.55</v>
      </c>
      <c r="N601">
        <v>36.8</v>
      </c>
    </row>
    <row r="602" spans="1:14">
      <c r="A602" s="1" t="s">
        <v>614</v>
      </c>
      <c r="B602">
        <f>HYPERLINK("https://www.suredividend.com/sure-analysis-FLIC/","First Of Long Island Corp.")</f>
        <v>0</v>
      </c>
      <c r="C602" t="s">
        <v>1923</v>
      </c>
      <c r="D602">
        <v>17.15</v>
      </c>
      <c r="E602">
        <v>0.04664723032069971</v>
      </c>
      <c r="F602">
        <v>0.04999999999999982</v>
      </c>
      <c r="G602">
        <v>0.06961037572506878</v>
      </c>
      <c r="H602">
        <v>0.586465356568714</v>
      </c>
      <c r="I602">
        <v>391.939309</v>
      </c>
      <c r="J602">
        <v>8.71014953109027</v>
      </c>
      <c r="K602">
        <v>0.3054507065462052</v>
      </c>
      <c r="L602">
        <v>0.4173771755407411</v>
      </c>
      <c r="M602">
        <v>22.21</v>
      </c>
      <c r="N602">
        <v>16.13</v>
      </c>
    </row>
    <row r="603" spans="1:14">
      <c r="A603" s="1" t="s">
        <v>615</v>
      </c>
      <c r="B603">
        <f>HYPERLINK("https://www.suredividend.com/sure-analysis-research-database/","Full House Resorts, Inc.")</f>
        <v>0</v>
      </c>
      <c r="C603" t="s">
        <v>1927</v>
      </c>
      <c r="D603">
        <v>5.47</v>
      </c>
      <c r="E603">
        <v>0</v>
      </c>
      <c r="H603">
        <v>0</v>
      </c>
      <c r="I603">
        <v>188.080945</v>
      </c>
      <c r="J603">
        <v>0</v>
      </c>
      <c r="K603" t="s">
        <v>1921</v>
      </c>
      <c r="L603">
        <v>1.538273526767849</v>
      </c>
      <c r="M603">
        <v>12.57</v>
      </c>
      <c r="N603">
        <v>4.82</v>
      </c>
    </row>
    <row r="604" spans="1:14">
      <c r="A604" s="1" t="s">
        <v>616</v>
      </c>
      <c r="B604">
        <f>HYPERLINK("https://www.suredividend.com/sure-analysis-research-database/","Fluent Inc")</f>
        <v>0</v>
      </c>
      <c r="C604" t="s">
        <v>1931</v>
      </c>
      <c r="D604">
        <v>1.33</v>
      </c>
      <c r="E604">
        <v>0</v>
      </c>
      <c r="H604">
        <v>0</v>
      </c>
      <c r="I604">
        <v>106.256328</v>
      </c>
      <c r="J604">
        <v>0</v>
      </c>
      <c r="K604" t="s">
        <v>1921</v>
      </c>
      <c r="L604">
        <v>1.385524156018601</v>
      </c>
      <c r="M604">
        <v>2.73</v>
      </c>
      <c r="N604">
        <v>1.05</v>
      </c>
    </row>
    <row r="605" spans="1:14">
      <c r="A605" s="1" t="s">
        <v>617</v>
      </c>
      <c r="B605">
        <f>HYPERLINK("https://www.suredividend.com/sure-analysis-research-database/","Fluor Corporation")</f>
        <v>0</v>
      </c>
      <c r="C605" t="s">
        <v>1924</v>
      </c>
      <c r="D605">
        <v>28.27</v>
      </c>
      <c r="E605">
        <v>0</v>
      </c>
      <c r="H605">
        <v>0</v>
      </c>
      <c r="I605">
        <v>4016.67742</v>
      </c>
      <c r="J605" t="s">
        <v>1921</v>
      </c>
      <c r="K605">
        <v>-0</v>
      </c>
      <c r="L605">
        <v>0.8473526331312331</v>
      </c>
      <c r="M605">
        <v>31.32</v>
      </c>
      <c r="N605">
        <v>15.71</v>
      </c>
    </row>
    <row r="606" spans="1:14">
      <c r="A606" s="1" t="s">
        <v>618</v>
      </c>
      <c r="B606">
        <f>HYPERLINK("https://www.suredividend.com/sure-analysis-research-database/","1-800 Flowers.com Inc.")</f>
        <v>0</v>
      </c>
      <c r="C606" t="s">
        <v>1927</v>
      </c>
      <c r="D606">
        <v>6.23</v>
      </c>
      <c r="E606">
        <v>0</v>
      </c>
      <c r="H606">
        <v>0</v>
      </c>
      <c r="I606">
        <v>232.304196</v>
      </c>
      <c r="J606">
        <v>7.845464248226951</v>
      </c>
      <c r="K606">
        <v>0</v>
      </c>
      <c r="L606">
        <v>1.221413383002054</v>
      </c>
      <c r="M606">
        <v>35.72</v>
      </c>
      <c r="N606">
        <v>5.82</v>
      </c>
    </row>
    <row r="607" spans="1:14">
      <c r="A607" s="1" t="s">
        <v>619</v>
      </c>
      <c r="B607">
        <f>HYPERLINK("https://www.suredividend.com/sure-analysis-research-database/","Flexsteel Industries, Inc.")</f>
        <v>0</v>
      </c>
      <c r="C607" t="s">
        <v>1927</v>
      </c>
      <c r="D607">
        <v>14.71</v>
      </c>
      <c r="E607">
        <v>0.040271894277723</v>
      </c>
      <c r="F607">
        <v>0</v>
      </c>
      <c r="G607">
        <v>-0.07373828108439318</v>
      </c>
      <c r="H607">
        <v>0.59239956482531</v>
      </c>
      <c r="I607">
        <v>78.014338</v>
      </c>
      <c r="J607">
        <v>42.10163944954128</v>
      </c>
      <c r="K607">
        <v>2.07932455186139</v>
      </c>
      <c r="L607">
        <v>0.8480962677770171</v>
      </c>
      <c r="M607">
        <v>30.69</v>
      </c>
      <c r="N607">
        <v>14.7</v>
      </c>
    </row>
    <row r="608" spans="1:14">
      <c r="A608" s="1" t="s">
        <v>620</v>
      </c>
      <c r="B608">
        <f>HYPERLINK("https://www.suredividend.com/sure-analysis-research-database/","Flywire Corp")</f>
        <v>0</v>
      </c>
      <c r="C608" t="s">
        <v>1921</v>
      </c>
      <c r="D608">
        <v>21.35</v>
      </c>
      <c r="E608">
        <v>0</v>
      </c>
      <c r="H608">
        <v>0</v>
      </c>
      <c r="I608">
        <v>2183.655091</v>
      </c>
      <c r="J608">
        <v>0</v>
      </c>
      <c r="K608" t="s">
        <v>1921</v>
      </c>
      <c r="L608">
        <v>2.105719969620672</v>
      </c>
      <c r="M608">
        <v>57.41</v>
      </c>
      <c r="N608">
        <v>14.56</v>
      </c>
    </row>
    <row r="609" spans="1:14">
      <c r="A609" s="1" t="s">
        <v>621</v>
      </c>
      <c r="B609">
        <f>HYPERLINK("https://www.suredividend.com/sure-analysis-research-database/","First Mid Bancshares Inc.")</f>
        <v>0</v>
      </c>
      <c r="C609" t="s">
        <v>1923</v>
      </c>
      <c r="D609">
        <v>32.65</v>
      </c>
      <c r="E609">
        <v>0.027024890391608</v>
      </c>
      <c r="H609">
        <v>0.8823626712860261</v>
      </c>
      <c r="I609">
        <v>667.852583</v>
      </c>
      <c r="J609">
        <v>0</v>
      </c>
      <c r="K609" t="s">
        <v>1921</v>
      </c>
      <c r="L609">
        <v>0.551797591232101</v>
      </c>
      <c r="M609">
        <v>44.84</v>
      </c>
      <c r="N609">
        <v>31.61</v>
      </c>
    </row>
    <row r="610" spans="1:14">
      <c r="A610" s="1" t="s">
        <v>622</v>
      </c>
      <c r="B610">
        <f>HYPERLINK("https://www.suredividend.com/sure-analysis-research-database/","Farmers National Banc Corp.")</f>
        <v>0</v>
      </c>
      <c r="C610" t="s">
        <v>1923</v>
      </c>
      <c r="D610">
        <v>12.49</v>
      </c>
      <c r="E610">
        <v>0.048879263734022</v>
      </c>
      <c r="F610">
        <v>0.4545454545454546</v>
      </c>
      <c r="G610">
        <v>0.2167286837864115</v>
      </c>
      <c r="H610">
        <v>0.6105020040379441</v>
      </c>
      <c r="I610">
        <v>425.442586</v>
      </c>
      <c r="J610">
        <v>0</v>
      </c>
      <c r="K610" t="s">
        <v>1921</v>
      </c>
      <c r="L610">
        <v>0.410145169339502</v>
      </c>
      <c r="M610">
        <v>19.39</v>
      </c>
      <c r="N610">
        <v>12.47</v>
      </c>
    </row>
    <row r="611" spans="1:14">
      <c r="A611" s="1" t="s">
        <v>623</v>
      </c>
      <c r="B611">
        <f>HYPERLINK("https://www.suredividend.com/sure-analysis-research-database/","Forma Therapeutics Holdings Inc")</f>
        <v>0</v>
      </c>
      <c r="C611" t="s">
        <v>1921</v>
      </c>
      <c r="D611">
        <v>19.97</v>
      </c>
      <c r="E611">
        <v>0</v>
      </c>
      <c r="H611">
        <v>0</v>
      </c>
      <c r="I611">
        <v>955.615563</v>
      </c>
      <c r="J611">
        <v>0</v>
      </c>
      <c r="K611" t="s">
        <v>1921</v>
      </c>
      <c r="L611">
        <v>1.518488082960688</v>
      </c>
      <c r="M611">
        <v>20.68</v>
      </c>
      <c r="N611">
        <v>4.95</v>
      </c>
    </row>
    <row r="612" spans="1:14">
      <c r="A612" s="1" t="s">
        <v>624</v>
      </c>
      <c r="B612">
        <f>HYPERLINK("https://www.suredividend.com/sure-analysis-research-database/","Fabrinet")</f>
        <v>0</v>
      </c>
      <c r="C612" t="s">
        <v>1920</v>
      </c>
      <c r="D612">
        <v>102.86</v>
      </c>
      <c r="E612">
        <v>0</v>
      </c>
      <c r="H612">
        <v>0</v>
      </c>
      <c r="I612">
        <v>3748.947163</v>
      </c>
      <c r="J612">
        <v>18.70918835762052</v>
      </c>
      <c r="K612">
        <v>0</v>
      </c>
      <c r="L612">
        <v>1.124376895600729</v>
      </c>
      <c r="M612">
        <v>126.28</v>
      </c>
      <c r="N612">
        <v>74.56999999999999</v>
      </c>
    </row>
    <row r="613" spans="1:14">
      <c r="A613" s="1" t="s">
        <v>625</v>
      </c>
      <c r="B613">
        <f>HYPERLINK("https://www.suredividend.com/sure-analysis-research-database/","Paragon 28 Inc")</f>
        <v>0</v>
      </c>
      <c r="C613" t="s">
        <v>1921</v>
      </c>
      <c r="D613">
        <v>16.71</v>
      </c>
      <c r="E613">
        <v>0</v>
      </c>
      <c r="H613">
        <v>0</v>
      </c>
      <c r="I613">
        <v>1282.922849</v>
      </c>
      <c r="J613">
        <v>0</v>
      </c>
      <c r="K613" t="s">
        <v>1921</v>
      </c>
      <c r="M613">
        <v>25.41</v>
      </c>
      <c r="N613">
        <v>12.35</v>
      </c>
    </row>
    <row r="614" spans="1:14">
      <c r="A614" s="1" t="s">
        <v>626</v>
      </c>
      <c r="B614">
        <f>HYPERLINK("https://www.suredividend.com/sure-analysis-research-database/","Finch Therapeutics Group Inc")</f>
        <v>0</v>
      </c>
      <c r="C614" t="s">
        <v>1921</v>
      </c>
      <c r="D614">
        <v>1.68</v>
      </c>
      <c r="E614">
        <v>0</v>
      </c>
      <c r="H614">
        <v>0</v>
      </c>
      <c r="I614">
        <v>80.116567</v>
      </c>
      <c r="J614">
        <v>0</v>
      </c>
      <c r="K614" t="s">
        <v>1921</v>
      </c>
      <c r="L614">
        <v>0.7030140096371631</v>
      </c>
      <c r="M614">
        <v>17.39</v>
      </c>
      <c r="N614">
        <v>1.58</v>
      </c>
    </row>
    <row r="615" spans="1:14">
      <c r="A615" s="1" t="s">
        <v>627</v>
      </c>
      <c r="B615">
        <f>HYPERLINK("https://www.suredividend.com/sure-analysis-research-database/","Funko Inc")</f>
        <v>0</v>
      </c>
      <c r="C615" t="s">
        <v>1927</v>
      </c>
      <c r="D615">
        <v>20.8</v>
      </c>
      <c r="E615">
        <v>0</v>
      </c>
      <c r="H615">
        <v>0</v>
      </c>
      <c r="I615">
        <v>974.285603</v>
      </c>
      <c r="J615">
        <v>20.24405433955992</v>
      </c>
      <c r="K615">
        <v>0</v>
      </c>
      <c r="L615">
        <v>1.437001714948321</v>
      </c>
      <c r="M615">
        <v>27.79</v>
      </c>
      <c r="N615">
        <v>15.28</v>
      </c>
    </row>
    <row r="616" spans="1:14">
      <c r="A616" s="1" t="s">
        <v>628</v>
      </c>
      <c r="B616">
        <f>HYPERLINK("https://www.suredividend.com/sure-analysis-research-database/","First Bancorp Inc (ME)")</f>
        <v>0</v>
      </c>
      <c r="C616" t="s">
        <v>1923</v>
      </c>
      <c r="D616">
        <v>27.82</v>
      </c>
      <c r="E616">
        <v>0.046650692197615</v>
      </c>
      <c r="F616">
        <v>0.0625</v>
      </c>
      <c r="G616">
        <v>0.07214502590085092</v>
      </c>
      <c r="H616">
        <v>1.297822256937662</v>
      </c>
      <c r="I616">
        <v>306.979122</v>
      </c>
      <c r="J616">
        <v>10.46281943830948</v>
      </c>
      <c r="K616">
        <v>0.487903104111903</v>
      </c>
      <c r="L616">
        <v>0.460055173267446</v>
      </c>
      <c r="M616">
        <v>35.56</v>
      </c>
      <c r="N616">
        <v>26.89</v>
      </c>
    </row>
    <row r="617" spans="1:14">
      <c r="A617" s="1" t="s">
        <v>629</v>
      </c>
      <c r="B617">
        <f>HYPERLINK("https://www.suredividend.com/sure-analysis-research-database/","Finance of America Companies Inc")</f>
        <v>0</v>
      </c>
      <c r="C617" t="s">
        <v>1921</v>
      </c>
      <c r="D617">
        <v>1.56</v>
      </c>
      <c r="E617">
        <v>0</v>
      </c>
      <c r="H617">
        <v>0</v>
      </c>
      <c r="I617">
        <v>97.722972</v>
      </c>
      <c r="J617">
        <v>0</v>
      </c>
      <c r="K617" t="s">
        <v>1921</v>
      </c>
      <c r="L617">
        <v>1.020648566772586</v>
      </c>
      <c r="M617">
        <v>5.99</v>
      </c>
      <c r="N617">
        <v>1.2</v>
      </c>
    </row>
    <row r="618" spans="1:14">
      <c r="A618" s="1" t="s">
        <v>630</v>
      </c>
      <c r="B618">
        <f>HYPERLINK("https://www.suredividend.com/sure-analysis-research-database/","Focus Financial Partners Inc")</f>
        <v>0</v>
      </c>
      <c r="C618" t="s">
        <v>1923</v>
      </c>
      <c r="D618">
        <v>32.93</v>
      </c>
      <c r="E618">
        <v>0</v>
      </c>
      <c r="H618">
        <v>0</v>
      </c>
      <c r="I618">
        <v>2155.216932</v>
      </c>
      <c r="J618">
        <v>0</v>
      </c>
      <c r="K618" t="s">
        <v>1921</v>
      </c>
      <c r="L618">
        <v>1.387173657680342</v>
      </c>
      <c r="M618">
        <v>69.13</v>
      </c>
      <c r="N618">
        <v>30.86</v>
      </c>
    </row>
    <row r="619" spans="1:14">
      <c r="A619" s="1" t="s">
        <v>631</v>
      </c>
      <c r="B619">
        <f>HYPERLINK("https://www.suredividend.com/sure-analysis-research-database/","Ferro Corp.")</f>
        <v>0</v>
      </c>
      <c r="C619" t="s">
        <v>1925</v>
      </c>
      <c r="D619">
        <v>22.01</v>
      </c>
      <c r="E619">
        <v>0</v>
      </c>
      <c r="H619">
        <v>0</v>
      </c>
      <c r="I619">
        <v>1843.420852</v>
      </c>
      <c r="J619">
        <v>12.38600057696313</v>
      </c>
      <c r="K619">
        <v>0</v>
      </c>
      <c r="L619">
        <v>0.026447467881769</v>
      </c>
      <c r="M619">
        <v>22.1</v>
      </c>
      <c r="N619">
        <v>16.63</v>
      </c>
    </row>
    <row r="620" spans="1:14">
      <c r="A620" s="1" t="s">
        <v>632</v>
      </c>
      <c r="B620">
        <f>HYPERLINK("https://www.suredividend.com/sure-analysis-research-database/","Amicus Therapeutics Inc")</f>
        <v>0</v>
      </c>
      <c r="C620" t="s">
        <v>1922</v>
      </c>
      <c r="D620">
        <v>10.1</v>
      </c>
      <c r="E620">
        <v>0</v>
      </c>
      <c r="H620">
        <v>0</v>
      </c>
      <c r="I620">
        <v>2833.034456</v>
      </c>
      <c r="J620" t="s">
        <v>1921</v>
      </c>
      <c r="K620">
        <v>-0</v>
      </c>
      <c r="L620">
        <v>1.20228504796682</v>
      </c>
      <c r="M620">
        <v>12.96</v>
      </c>
      <c r="N620">
        <v>5.91</v>
      </c>
    </row>
    <row r="621" spans="1:14">
      <c r="A621" s="1" t="s">
        <v>633</v>
      </c>
      <c r="B621">
        <f>HYPERLINK("https://www.suredividend.com/sure-analysis-research-database/","Forestar Group Inc")</f>
        <v>0</v>
      </c>
      <c r="C621" t="s">
        <v>1929</v>
      </c>
      <c r="D621">
        <v>11.13</v>
      </c>
      <c r="E621">
        <v>0</v>
      </c>
      <c r="H621">
        <v>0</v>
      </c>
      <c r="I621">
        <v>553.8230119999999</v>
      </c>
      <c r="J621">
        <v>3.219901234883721</v>
      </c>
      <c r="K621">
        <v>0</v>
      </c>
      <c r="L621">
        <v>1.059829383733921</v>
      </c>
      <c r="M621">
        <v>22.6</v>
      </c>
      <c r="N621">
        <v>11</v>
      </c>
    </row>
    <row r="622" spans="1:14">
      <c r="A622" s="1" t="s">
        <v>634</v>
      </c>
      <c r="B622">
        <f>HYPERLINK("https://www.suredividend.com/sure-analysis-research-database/","Forian Inc.")</f>
        <v>0</v>
      </c>
      <c r="C622" t="s">
        <v>1921</v>
      </c>
      <c r="D622">
        <v>3.31</v>
      </c>
      <c r="E622">
        <v>0</v>
      </c>
      <c r="H622">
        <v>0</v>
      </c>
      <c r="I622">
        <v>108.054381</v>
      </c>
      <c r="J622">
        <v>0</v>
      </c>
      <c r="K622" t="s">
        <v>1921</v>
      </c>
      <c r="L622">
        <v>0.6182060797544251</v>
      </c>
      <c r="M622">
        <v>11.38</v>
      </c>
      <c r="N622">
        <v>2.56</v>
      </c>
    </row>
    <row r="623" spans="1:14">
      <c r="A623" s="1" t="s">
        <v>635</v>
      </c>
      <c r="B623">
        <f>HYPERLINK("https://www.suredividend.com/sure-analysis-research-database/","FormFactor Inc.")</f>
        <v>0</v>
      </c>
      <c r="C623" t="s">
        <v>1920</v>
      </c>
      <c r="D623">
        <v>27.31</v>
      </c>
      <c r="E623">
        <v>0</v>
      </c>
      <c r="H623">
        <v>0</v>
      </c>
      <c r="I623">
        <v>2106.493518</v>
      </c>
      <c r="J623">
        <v>19.7777962041349</v>
      </c>
      <c r="K623">
        <v>0</v>
      </c>
      <c r="L623">
        <v>1.492605466115664</v>
      </c>
      <c r="M623">
        <v>47.48</v>
      </c>
      <c r="N623">
        <v>24.86</v>
      </c>
    </row>
    <row r="624" spans="1:14">
      <c r="A624" s="1" t="s">
        <v>636</v>
      </c>
      <c r="B624">
        <f>HYPERLINK("https://www.suredividend.com/sure-analysis-research-database/","Forrester Research Inc.")</f>
        <v>0</v>
      </c>
      <c r="C624" t="s">
        <v>1924</v>
      </c>
      <c r="D624">
        <v>38.14</v>
      </c>
      <c r="E624">
        <v>0</v>
      </c>
      <c r="H624">
        <v>0</v>
      </c>
      <c r="I624">
        <v>723.8972</v>
      </c>
      <c r="J624">
        <v>23.68231098897504</v>
      </c>
      <c r="K624">
        <v>0</v>
      </c>
      <c r="L624">
        <v>0.7607637533614191</v>
      </c>
      <c r="M624">
        <v>60.9</v>
      </c>
      <c r="N624">
        <v>34.08</v>
      </c>
    </row>
    <row r="625" spans="1:14">
      <c r="A625" s="1" t="s">
        <v>637</v>
      </c>
      <c r="B625">
        <f>HYPERLINK("https://www.suredividend.com/sure-analysis-research-database/","Fossil Group Inc")</f>
        <v>0</v>
      </c>
      <c r="C625" t="s">
        <v>1927</v>
      </c>
      <c r="D625">
        <v>3.47</v>
      </c>
      <c r="E625">
        <v>0</v>
      </c>
      <c r="H625">
        <v>0</v>
      </c>
      <c r="I625">
        <v>179.840616</v>
      </c>
      <c r="J625">
        <v>17.16363967264745</v>
      </c>
      <c r="K625">
        <v>0</v>
      </c>
      <c r="L625">
        <v>1.694096627720999</v>
      </c>
      <c r="M625">
        <v>20</v>
      </c>
      <c r="N625">
        <v>3.28</v>
      </c>
    </row>
    <row r="626" spans="1:14">
      <c r="A626" s="1" t="s">
        <v>638</v>
      </c>
      <c r="B626">
        <f>HYPERLINK("https://www.suredividend.com/sure-analysis-research-database/","Fox Factory Holding Corp")</f>
        <v>0</v>
      </c>
      <c r="C626" t="s">
        <v>1927</v>
      </c>
      <c r="D626">
        <v>82.44</v>
      </c>
      <c r="E626">
        <v>0</v>
      </c>
      <c r="H626">
        <v>0</v>
      </c>
      <c r="I626">
        <v>3484.139544</v>
      </c>
      <c r="J626">
        <v>19.02809613959204</v>
      </c>
      <c r="K626">
        <v>0</v>
      </c>
      <c r="L626">
        <v>1.414878169072555</v>
      </c>
      <c r="M626">
        <v>190.29</v>
      </c>
      <c r="N626">
        <v>69.28</v>
      </c>
    </row>
    <row r="627" spans="1:14">
      <c r="A627" s="1" t="s">
        <v>639</v>
      </c>
      <c r="B627">
        <f>HYPERLINK("https://www.suredividend.com/sure-analysis-research-database/","Farmland Partners Inc")</f>
        <v>0</v>
      </c>
      <c r="C627" t="s">
        <v>1929</v>
      </c>
      <c r="D627">
        <v>12.47</v>
      </c>
      <c r="E627">
        <v>0.017535268368547</v>
      </c>
      <c r="F627">
        <v>0.2</v>
      </c>
      <c r="G627">
        <v>-0.1399410628175578</v>
      </c>
      <c r="H627">
        <v>0.218664796555782</v>
      </c>
      <c r="I627">
        <v>677.0800860000001</v>
      </c>
      <c r="J627">
        <v>0</v>
      </c>
      <c r="K627" t="s">
        <v>1921</v>
      </c>
      <c r="L627">
        <v>0.588493490250905</v>
      </c>
      <c r="M627">
        <v>16.29</v>
      </c>
      <c r="N627">
        <v>10.49</v>
      </c>
    </row>
    <row r="628" spans="1:14">
      <c r="A628" s="1" t="s">
        <v>640</v>
      </c>
      <c r="B628">
        <f>HYPERLINK("https://www.suredividend.com/sure-analysis-research-database/","First Bank (NJ)")</f>
        <v>0</v>
      </c>
      <c r="C628" t="s">
        <v>1923</v>
      </c>
      <c r="D628">
        <v>13.83</v>
      </c>
      <c r="E628">
        <v>0.017248692413886</v>
      </c>
      <c r="F628">
        <v>1</v>
      </c>
      <c r="G628">
        <v>0.2457309396155174</v>
      </c>
      <c r="H628">
        <v>0.238549416084048</v>
      </c>
      <c r="I628">
        <v>158.57478</v>
      </c>
      <c r="J628">
        <v>0</v>
      </c>
      <c r="K628" t="s">
        <v>1921</v>
      </c>
      <c r="L628">
        <v>0.5441980092855671</v>
      </c>
      <c r="M628">
        <v>16.76</v>
      </c>
      <c r="N628">
        <v>12.86</v>
      </c>
    </row>
    <row r="629" spans="1:14">
      <c r="A629" s="1" t="s">
        <v>641</v>
      </c>
      <c r="B629">
        <f>HYPERLINK("https://www.suredividend.com/sure-analysis-research-database/","Republic First Bancorp, Inc.")</f>
        <v>0</v>
      </c>
      <c r="C629" t="s">
        <v>1923</v>
      </c>
      <c r="D629">
        <v>2.92</v>
      </c>
      <c r="E629">
        <v>0</v>
      </c>
      <c r="H629">
        <v>0</v>
      </c>
      <c r="I629">
        <v>186.160868</v>
      </c>
      <c r="J629">
        <v>9.473353429342019</v>
      </c>
      <c r="K629">
        <v>0</v>
      </c>
      <c r="L629">
        <v>0.501113580364268</v>
      </c>
      <c r="M629">
        <v>5.67</v>
      </c>
      <c r="N629">
        <v>2.58</v>
      </c>
    </row>
    <row r="630" spans="1:14">
      <c r="A630" s="1" t="s">
        <v>642</v>
      </c>
      <c r="B630">
        <f>HYPERLINK("https://www.suredividend.com/sure-analysis-research-database/","Whole Earth Brands Inc")</f>
        <v>0</v>
      </c>
      <c r="C630" t="s">
        <v>1921</v>
      </c>
      <c r="D630">
        <v>3.47</v>
      </c>
      <c r="E630">
        <v>0</v>
      </c>
      <c r="H630">
        <v>0</v>
      </c>
      <c r="I630">
        <v>145.64867</v>
      </c>
      <c r="J630">
        <v>0</v>
      </c>
      <c r="K630" t="s">
        <v>1921</v>
      </c>
      <c r="L630">
        <v>0.8199324833075151</v>
      </c>
      <c r="M630">
        <v>12.69</v>
      </c>
      <c r="N630">
        <v>3.45</v>
      </c>
    </row>
    <row r="631" spans="1:14">
      <c r="A631" s="1" t="s">
        <v>643</v>
      </c>
      <c r="B631">
        <f>HYPERLINK("https://www.suredividend.com/sure-analysis-research-database/","Frequency Therapeutics Inc")</f>
        <v>0</v>
      </c>
      <c r="C631" t="s">
        <v>1922</v>
      </c>
      <c r="D631">
        <v>1.74</v>
      </c>
      <c r="E631">
        <v>0</v>
      </c>
      <c r="H631">
        <v>0</v>
      </c>
      <c r="I631">
        <v>61.355937</v>
      </c>
      <c r="J631">
        <v>0</v>
      </c>
      <c r="K631" t="s">
        <v>1921</v>
      </c>
      <c r="L631">
        <v>1.476897471733485</v>
      </c>
      <c r="M631">
        <v>7.88</v>
      </c>
      <c r="N631">
        <v>1</v>
      </c>
    </row>
    <row r="632" spans="1:14">
      <c r="A632" s="1" t="s">
        <v>644</v>
      </c>
      <c r="B632">
        <f>HYPERLINK("https://www.suredividend.com/sure-analysis-research-database/","Franchise Group Inc")</f>
        <v>0</v>
      </c>
      <c r="C632" t="s">
        <v>1927</v>
      </c>
      <c r="D632">
        <v>25.75</v>
      </c>
      <c r="E632">
        <v>0.09422103882096901</v>
      </c>
      <c r="H632">
        <v>2.426191749639965</v>
      </c>
      <c r="I632">
        <v>1039.31908</v>
      </c>
      <c r="J632">
        <v>0</v>
      </c>
      <c r="K632" t="s">
        <v>1921</v>
      </c>
      <c r="L632">
        <v>1.253344353396052</v>
      </c>
      <c r="M632">
        <v>51.81</v>
      </c>
      <c r="N632">
        <v>22.93</v>
      </c>
    </row>
    <row r="633" spans="1:14">
      <c r="A633" s="1" t="s">
        <v>645</v>
      </c>
      <c r="B633">
        <f>HYPERLINK("https://www.suredividend.com/sure-analysis-research-database/","Fiesta Restaurant Group Inc")</f>
        <v>0</v>
      </c>
      <c r="C633" t="s">
        <v>1927</v>
      </c>
      <c r="D633">
        <v>6.52</v>
      </c>
      <c r="E633">
        <v>0</v>
      </c>
      <c r="H633">
        <v>0</v>
      </c>
      <c r="I633">
        <v>169.489258</v>
      </c>
      <c r="J633">
        <v>34.13680930513595</v>
      </c>
      <c r="K633">
        <v>0</v>
      </c>
      <c r="L633">
        <v>1.007413255542484</v>
      </c>
      <c r="M633">
        <v>12.19</v>
      </c>
      <c r="N633">
        <v>5.89</v>
      </c>
    </row>
    <row r="634" spans="1:14">
      <c r="A634" s="1" t="s">
        <v>646</v>
      </c>
      <c r="B634">
        <f>HYPERLINK("https://www.suredividend.com/sure-analysis-research-database/","First Merchants Corp.")</f>
        <v>0</v>
      </c>
      <c r="C634" t="s">
        <v>1923</v>
      </c>
      <c r="D634">
        <v>39.85</v>
      </c>
      <c r="E634">
        <v>0.03027222733966</v>
      </c>
      <c r="F634">
        <v>0.1034482758620692</v>
      </c>
      <c r="G634">
        <v>0.1219551454461996</v>
      </c>
      <c r="H634">
        <v>1.206348259485465</v>
      </c>
      <c r="I634">
        <v>2370.691245</v>
      </c>
      <c r="J634">
        <v>12.63620600337933</v>
      </c>
      <c r="K634">
        <v>0.3548083116133721</v>
      </c>
      <c r="L634">
        <v>0.625240285219638</v>
      </c>
      <c r="M634">
        <v>45.09</v>
      </c>
      <c r="N634">
        <v>33.8</v>
      </c>
    </row>
    <row r="635" spans="1:14">
      <c r="A635" s="1" t="s">
        <v>647</v>
      </c>
      <c r="B635">
        <f>HYPERLINK("https://www.suredividend.com/sure-analysis-research-database/","Frontline Ltd")</f>
        <v>0</v>
      </c>
      <c r="C635" t="s">
        <v>1926</v>
      </c>
      <c r="D635">
        <v>10.84</v>
      </c>
      <c r="E635">
        <v>0.013837638926242</v>
      </c>
      <c r="H635">
        <v>0.150000005960464</v>
      </c>
      <c r="I635">
        <v>2413.232117</v>
      </c>
      <c r="J635">
        <v>37.22228057871763</v>
      </c>
      <c r="K635">
        <v>0.4680187393462215</v>
      </c>
      <c r="L635">
        <v>0.5568326203410271</v>
      </c>
      <c r="M635">
        <v>13.85</v>
      </c>
      <c r="N635">
        <v>6.03</v>
      </c>
    </row>
    <row r="636" spans="1:14">
      <c r="A636" s="1" t="s">
        <v>648</v>
      </c>
      <c r="B636">
        <f>HYPERLINK("https://www.suredividend.com/sure-analysis-research-database/","JFrog Ltd")</f>
        <v>0</v>
      </c>
      <c r="C636" t="s">
        <v>1921</v>
      </c>
      <c r="D636">
        <v>22.79</v>
      </c>
      <c r="E636">
        <v>0</v>
      </c>
      <c r="H636">
        <v>0</v>
      </c>
      <c r="I636">
        <v>2263.340148</v>
      </c>
      <c r="J636">
        <v>0</v>
      </c>
      <c r="K636" t="s">
        <v>1921</v>
      </c>
      <c r="L636">
        <v>1.436495123663774</v>
      </c>
      <c r="M636">
        <v>42.33</v>
      </c>
      <c r="N636">
        <v>16.36</v>
      </c>
    </row>
    <row r="637" spans="1:14">
      <c r="A637" s="1" t="s">
        <v>649</v>
      </c>
      <c r="B637">
        <f>HYPERLINK("https://www.suredividend.com/sure-analysis-research-database/","FRP Holdings Inc")</f>
        <v>0</v>
      </c>
      <c r="C637" t="s">
        <v>1929</v>
      </c>
      <c r="D637">
        <v>54.2</v>
      </c>
      <c r="E637">
        <v>0</v>
      </c>
      <c r="H637">
        <v>0</v>
      </c>
      <c r="I637">
        <v>512.466203</v>
      </c>
      <c r="J637">
        <v>470.5842086317723</v>
      </c>
      <c r="K637">
        <v>0</v>
      </c>
      <c r="L637">
        <v>0.474826131924565</v>
      </c>
      <c r="M637">
        <v>65</v>
      </c>
      <c r="N637">
        <v>53.08</v>
      </c>
    </row>
    <row r="638" spans="1:14">
      <c r="A638" s="1" t="s">
        <v>650</v>
      </c>
      <c r="B638">
        <f>HYPERLINK("https://www.suredividend.com/sure-analysis-research-database/","Primis Financial Corp")</f>
        <v>0</v>
      </c>
      <c r="C638" t="s">
        <v>1921</v>
      </c>
      <c r="D638">
        <v>12.1</v>
      </c>
      <c r="E638">
        <v>0.032700469924351</v>
      </c>
      <c r="F638">
        <v>0</v>
      </c>
      <c r="G638">
        <v>0.04563955259127317</v>
      </c>
      <c r="H638">
        <v>0.39567568608465</v>
      </c>
      <c r="I638">
        <v>298.267892</v>
      </c>
      <c r="J638">
        <v>0</v>
      </c>
      <c r="K638" t="s">
        <v>1921</v>
      </c>
      <c r="L638">
        <v>0.5263817598095371</v>
      </c>
      <c r="M638">
        <v>16.09</v>
      </c>
      <c r="N638">
        <v>12</v>
      </c>
    </row>
    <row r="639" spans="1:14">
      <c r="A639" s="1" t="s">
        <v>651</v>
      </c>
      <c r="B639">
        <f>HYPERLINK("https://www.suredividend.com/sure-analysis-research-database/","Five Star Bancorp")</f>
        <v>0</v>
      </c>
      <c r="C639" t="s">
        <v>1923</v>
      </c>
      <c r="D639">
        <v>28.28</v>
      </c>
      <c r="E639">
        <v>0.015818015824306</v>
      </c>
      <c r="H639">
        <v>0.447333487511382</v>
      </c>
      <c r="I639">
        <v>487.716399</v>
      </c>
      <c r="J639">
        <v>0</v>
      </c>
      <c r="K639" t="s">
        <v>1921</v>
      </c>
      <c r="L639">
        <v>0.6437212620678741</v>
      </c>
      <c r="M639">
        <v>33.41</v>
      </c>
      <c r="N639">
        <v>23.43</v>
      </c>
    </row>
    <row r="640" spans="1:14">
      <c r="A640" s="1" t="s">
        <v>652</v>
      </c>
      <c r="B640">
        <f>HYPERLINK("https://www.suredividend.com/sure-analysis-research-database/","FS Bancorp Inc")</f>
        <v>0</v>
      </c>
      <c r="C640" t="s">
        <v>1923</v>
      </c>
      <c r="D640">
        <v>27.19</v>
      </c>
      <c r="E640">
        <v>0.027373950701956</v>
      </c>
      <c r="F640">
        <v>0.3333333333333335</v>
      </c>
      <c r="G640">
        <v>0.1270092020979254</v>
      </c>
      <c r="H640">
        <v>0.7442977195862001</v>
      </c>
      <c r="I640">
        <v>210.076248</v>
      </c>
      <c r="J640">
        <v>0</v>
      </c>
      <c r="K640" t="s">
        <v>1921</v>
      </c>
      <c r="L640">
        <v>0.342532951344903</v>
      </c>
      <c r="M640">
        <v>36.01</v>
      </c>
      <c r="N640">
        <v>26.88</v>
      </c>
    </row>
    <row r="641" spans="1:14">
      <c r="A641" s="1" t="s">
        <v>653</v>
      </c>
      <c r="B641">
        <f>HYPERLINK("https://www.suredividend.com/sure-analysis-research-database/","Franklin Street Properties Corp.")</f>
        <v>0</v>
      </c>
      <c r="C641" t="s">
        <v>1929</v>
      </c>
      <c r="D641">
        <v>2.47</v>
      </c>
      <c r="E641">
        <v>0.109577696081194</v>
      </c>
      <c r="F641">
        <v>-0.8888888888888888</v>
      </c>
      <c r="G641">
        <v>-0.4450558471716457</v>
      </c>
      <c r="H641">
        <v>0.27065690932055</v>
      </c>
      <c r="I641">
        <v>254.992708</v>
      </c>
      <c r="J641">
        <v>0</v>
      </c>
      <c r="K641" t="s">
        <v>1921</v>
      </c>
      <c r="L641">
        <v>0.6943722917669141</v>
      </c>
      <c r="M641">
        <v>6.07</v>
      </c>
      <c r="N641">
        <v>2.39</v>
      </c>
    </row>
    <row r="642" spans="1:14">
      <c r="A642" s="1" t="s">
        <v>654</v>
      </c>
      <c r="B642">
        <f>HYPERLINK("https://www.suredividend.com/sure-analysis-research-database/","Fisker Inc")</f>
        <v>0</v>
      </c>
      <c r="C642" t="s">
        <v>1921</v>
      </c>
      <c r="D642">
        <v>6.96</v>
      </c>
      <c r="E642">
        <v>0</v>
      </c>
      <c r="H642">
        <v>0</v>
      </c>
      <c r="I642">
        <v>1157.80067</v>
      </c>
      <c r="J642">
        <v>0</v>
      </c>
      <c r="K642" t="s">
        <v>1921</v>
      </c>
      <c r="L642">
        <v>1.672341957112993</v>
      </c>
      <c r="M642">
        <v>23.75</v>
      </c>
      <c r="N642">
        <v>6.77</v>
      </c>
    </row>
    <row r="643" spans="1:14">
      <c r="A643" s="1" t="s">
        <v>655</v>
      </c>
      <c r="B643">
        <f>HYPERLINK("https://www.suredividend.com/sure-analysis-research-database/","Federal Signal Corp.")</f>
        <v>0</v>
      </c>
      <c r="C643" t="s">
        <v>1924</v>
      </c>
      <c r="D643">
        <v>41.67</v>
      </c>
      <c r="E643">
        <v>0.008608239956093</v>
      </c>
      <c r="F643">
        <v>0</v>
      </c>
      <c r="G643">
        <v>0.05154749679728043</v>
      </c>
      <c r="H643">
        <v>0.358705358970425</v>
      </c>
      <c r="I643">
        <v>2526.313839</v>
      </c>
      <c r="J643">
        <v>24.59896629931841</v>
      </c>
      <c r="K643">
        <v>0.214793628126003</v>
      </c>
      <c r="L643">
        <v>0.7952550351154281</v>
      </c>
      <c r="M643">
        <v>48.42</v>
      </c>
      <c r="N643">
        <v>31.71</v>
      </c>
    </row>
    <row r="644" spans="1:14">
      <c r="A644" s="1" t="s">
        <v>656</v>
      </c>
      <c r="B644">
        <f>HYPERLINK("https://www.suredividend.com/sure-analysis-research-database/","FTC Solar Inc")</f>
        <v>0</v>
      </c>
      <c r="C644" t="s">
        <v>1921</v>
      </c>
      <c r="D644">
        <v>2.71</v>
      </c>
      <c r="E644">
        <v>0</v>
      </c>
      <c r="H644">
        <v>0</v>
      </c>
      <c r="I644">
        <v>275.810662</v>
      </c>
      <c r="J644">
        <v>0</v>
      </c>
      <c r="K644" t="s">
        <v>1921</v>
      </c>
      <c r="L644">
        <v>2.207285029209119</v>
      </c>
      <c r="M644">
        <v>11.2</v>
      </c>
      <c r="N644">
        <v>2.12</v>
      </c>
    </row>
    <row r="645" spans="1:14">
      <c r="A645" s="1" t="s">
        <v>657</v>
      </c>
      <c r="B645">
        <f>HYPERLINK("https://www.suredividend.com/sure-analysis-research-database/","Fathom Holdings Inc")</f>
        <v>0</v>
      </c>
      <c r="C645" t="s">
        <v>1921</v>
      </c>
      <c r="D645">
        <v>4.5</v>
      </c>
      <c r="E645">
        <v>0</v>
      </c>
      <c r="H645">
        <v>0</v>
      </c>
      <c r="I645">
        <v>76.92116900000001</v>
      </c>
      <c r="J645">
        <v>0</v>
      </c>
      <c r="K645" t="s">
        <v>1921</v>
      </c>
      <c r="L645">
        <v>1.73280983768402</v>
      </c>
      <c r="M645">
        <v>29.49</v>
      </c>
      <c r="N645">
        <v>4.31</v>
      </c>
    </row>
    <row r="646" spans="1:14">
      <c r="A646" s="1" t="s">
        <v>658</v>
      </c>
      <c r="B646">
        <f>HYPERLINK("https://www.suredividend.com/sure-analysis-research-database/","fuboTV Inc")</f>
        <v>0</v>
      </c>
      <c r="C646" t="s">
        <v>1921</v>
      </c>
      <c r="D646">
        <v>3.73</v>
      </c>
      <c r="E646">
        <v>0</v>
      </c>
      <c r="H646">
        <v>0</v>
      </c>
      <c r="I646">
        <v>691.153875</v>
      </c>
      <c r="J646">
        <v>0</v>
      </c>
      <c r="K646" t="s">
        <v>1921</v>
      </c>
      <c r="L646">
        <v>2.622487886765551</v>
      </c>
      <c r="M646">
        <v>35.1</v>
      </c>
      <c r="N646">
        <v>2.32</v>
      </c>
    </row>
    <row r="647" spans="1:14">
      <c r="A647" s="1" t="s">
        <v>659</v>
      </c>
      <c r="B647">
        <f>HYPERLINK("https://www.suredividend.com/sure-analysis-FUL/","H.B. Fuller Company")</f>
        <v>0</v>
      </c>
      <c r="C647" t="s">
        <v>1925</v>
      </c>
      <c r="D647">
        <v>64.38</v>
      </c>
      <c r="E647">
        <v>0.0118049083566325</v>
      </c>
      <c r="H647">
        <v>0.712035873152965</v>
      </c>
      <c r="I647">
        <v>3432.28727</v>
      </c>
      <c r="J647">
        <v>18.76694882355514</v>
      </c>
      <c r="K647">
        <v>0.2144686364918569</v>
      </c>
      <c r="L647">
        <v>0.988765012863251</v>
      </c>
      <c r="M647">
        <v>81.06</v>
      </c>
      <c r="N647">
        <v>57.21</v>
      </c>
    </row>
    <row r="648" spans="1:14">
      <c r="A648" s="1" t="s">
        <v>660</v>
      </c>
      <c r="B648">
        <f>HYPERLINK("https://www.suredividend.com/sure-analysis-research-database/","Fulcrum Therapeutics Inc")</f>
        <v>0</v>
      </c>
      <c r="C648" t="s">
        <v>1922</v>
      </c>
      <c r="D648">
        <v>7.96</v>
      </c>
      <c r="E648">
        <v>0</v>
      </c>
      <c r="H648">
        <v>0</v>
      </c>
      <c r="I648">
        <v>326.435158</v>
      </c>
      <c r="J648">
        <v>0</v>
      </c>
      <c r="K648" t="s">
        <v>1921</v>
      </c>
      <c r="L648">
        <v>1.240013994598322</v>
      </c>
      <c r="M648">
        <v>28.86</v>
      </c>
      <c r="N648">
        <v>3.21</v>
      </c>
    </row>
    <row r="649" spans="1:14">
      <c r="A649" s="1" t="s">
        <v>661</v>
      </c>
      <c r="B649">
        <f>HYPERLINK("https://www.suredividend.com/sure-analysis-research-database/","Fulton Financial Corp.")</f>
        <v>0</v>
      </c>
      <c r="C649" t="s">
        <v>1923</v>
      </c>
      <c r="D649">
        <v>16.44</v>
      </c>
      <c r="E649">
        <v>0.03538358129855301</v>
      </c>
      <c r="F649">
        <v>0.875</v>
      </c>
      <c r="G649">
        <v>0.3025855423486761</v>
      </c>
      <c r="H649">
        <v>0.581706076548212</v>
      </c>
      <c r="I649">
        <v>2751.345249</v>
      </c>
      <c r="J649">
        <v>10.52143698247412</v>
      </c>
      <c r="K649">
        <v>0.3613081220796349</v>
      </c>
      <c r="L649">
        <v>0.6959103668165421</v>
      </c>
      <c r="M649">
        <v>18.63</v>
      </c>
      <c r="N649">
        <v>13.59</v>
      </c>
    </row>
    <row r="650" spans="1:14">
      <c r="A650" s="1" t="s">
        <v>662</v>
      </c>
      <c r="B650">
        <f>HYPERLINK("https://www.suredividend.com/sure-analysis-research-database/","Arcimoto Inc")</f>
        <v>0</v>
      </c>
      <c r="C650" t="s">
        <v>1927</v>
      </c>
      <c r="D650">
        <v>1.01</v>
      </c>
      <c r="E650">
        <v>0</v>
      </c>
      <c r="H650">
        <v>0</v>
      </c>
      <c r="I650">
        <v>46.113079</v>
      </c>
      <c r="J650">
        <v>0</v>
      </c>
      <c r="K650" t="s">
        <v>1921</v>
      </c>
      <c r="L650">
        <v>1.423287274959785</v>
      </c>
      <c r="M650">
        <v>13.26</v>
      </c>
      <c r="N650">
        <v>0.99</v>
      </c>
    </row>
    <row r="651" spans="1:14">
      <c r="A651" s="1" t="s">
        <v>663</v>
      </c>
      <c r="B651">
        <f>HYPERLINK("https://www.suredividend.com/sure-analysis-research-database/","Forward Air Corp.")</f>
        <v>0</v>
      </c>
      <c r="C651" t="s">
        <v>1924</v>
      </c>
      <c r="D651">
        <v>96.73</v>
      </c>
      <c r="E651">
        <v>0.009581552255361002</v>
      </c>
      <c r="F651">
        <v>0.1428571428571428</v>
      </c>
      <c r="G651">
        <v>0.09856054330611785</v>
      </c>
      <c r="H651">
        <v>0.9268235496611431</v>
      </c>
      <c r="I651">
        <v>2597.303421</v>
      </c>
      <c r="J651">
        <v>16.08008407917139</v>
      </c>
      <c r="K651">
        <v>0.1555073069901247</v>
      </c>
      <c r="L651">
        <v>1.093406925315604</v>
      </c>
      <c r="M651">
        <v>124.81</v>
      </c>
      <c r="N651">
        <v>81.8</v>
      </c>
    </row>
    <row r="652" spans="1:14">
      <c r="A652" s="1" t="s">
        <v>664</v>
      </c>
      <c r="B652">
        <f>HYPERLINK("https://www.suredividend.com/sure-analysis-research-database/","First Watch Restaurant Group Inc")</f>
        <v>0</v>
      </c>
      <c r="C652" t="s">
        <v>1921</v>
      </c>
      <c r="D652">
        <v>15.09</v>
      </c>
      <c r="E652">
        <v>0</v>
      </c>
      <c r="H652">
        <v>0</v>
      </c>
      <c r="I652">
        <v>891.522451</v>
      </c>
      <c r="J652">
        <v>0</v>
      </c>
      <c r="K652" t="s">
        <v>1921</v>
      </c>
      <c r="L652">
        <v>1.336609860986238</v>
      </c>
      <c r="M652">
        <v>22.88</v>
      </c>
      <c r="N652">
        <v>11.57</v>
      </c>
    </row>
    <row r="653" spans="1:14">
      <c r="A653" s="1" t="s">
        <v>665</v>
      </c>
      <c r="B653">
        <f>HYPERLINK("https://www.suredividend.com/sure-analysis-research-database/","F45 Training Holdings Inc")</f>
        <v>0</v>
      </c>
      <c r="C653" t="s">
        <v>1921</v>
      </c>
      <c r="D653">
        <v>3.27</v>
      </c>
      <c r="E653">
        <v>0</v>
      </c>
      <c r="H653">
        <v>0</v>
      </c>
      <c r="I653">
        <v>314.634573</v>
      </c>
      <c r="J653">
        <v>0</v>
      </c>
      <c r="K653" t="s">
        <v>1921</v>
      </c>
      <c r="L653">
        <v>1.286824303512583</v>
      </c>
      <c r="M653">
        <v>16.44</v>
      </c>
      <c r="N653">
        <v>0.7857000000000001</v>
      </c>
    </row>
    <row r="654" spans="1:14">
      <c r="A654" s="1" t="s">
        <v>666</v>
      </c>
      <c r="B654">
        <f>HYPERLINK("https://www.suredividend.com/sure-analysis-research-database/","German American Bancorp Inc")</f>
        <v>0</v>
      </c>
      <c r="C654" t="s">
        <v>1923</v>
      </c>
      <c r="D654">
        <v>36.31</v>
      </c>
      <c r="E654">
        <v>0.024562057137118</v>
      </c>
      <c r="F654">
        <v>0.09523809523809534</v>
      </c>
      <c r="G654">
        <v>0.1208742617958329</v>
      </c>
      <c r="H654">
        <v>0.891848294648777</v>
      </c>
      <c r="I654">
        <v>1070.599261</v>
      </c>
      <c r="J654">
        <v>14.55172158837601</v>
      </c>
      <c r="K654">
        <v>0.3391058154558088</v>
      </c>
      <c r="L654">
        <v>0.4945922849870291</v>
      </c>
      <c r="M654">
        <v>42.99</v>
      </c>
      <c r="N654">
        <v>32.56</v>
      </c>
    </row>
    <row r="655" spans="1:14">
      <c r="A655" s="1" t="s">
        <v>667</v>
      </c>
      <c r="B655">
        <f>HYPERLINK("https://www.suredividend.com/sure-analysis-research-database/","GAN Limited")</f>
        <v>0</v>
      </c>
      <c r="C655" t="s">
        <v>1921</v>
      </c>
      <c r="D655">
        <v>2.11</v>
      </c>
      <c r="E655">
        <v>0</v>
      </c>
      <c r="H655">
        <v>0</v>
      </c>
      <c r="I655">
        <v>89.15405800000001</v>
      </c>
      <c r="J655">
        <v>0</v>
      </c>
      <c r="K655" t="s">
        <v>1921</v>
      </c>
      <c r="L655">
        <v>1.816135116275058</v>
      </c>
      <c r="M655">
        <v>16.5</v>
      </c>
      <c r="N655">
        <v>1.98</v>
      </c>
    </row>
    <row r="656" spans="1:14">
      <c r="A656" s="1" t="s">
        <v>668</v>
      </c>
      <c r="B656">
        <f>HYPERLINK("https://www.suredividend.com/sure-analysis-research-database/","Gatos Silver Inc")</f>
        <v>0</v>
      </c>
      <c r="C656" t="s">
        <v>1921</v>
      </c>
      <c r="D656">
        <v>2.85</v>
      </c>
      <c r="E656">
        <v>0</v>
      </c>
      <c r="H656">
        <v>0</v>
      </c>
      <c r="I656">
        <v>197.033308</v>
      </c>
      <c r="J656">
        <v>0</v>
      </c>
      <c r="K656" t="s">
        <v>1921</v>
      </c>
      <c r="L656">
        <v>1.505258768668905</v>
      </c>
      <c r="M656">
        <v>14.63</v>
      </c>
      <c r="N656">
        <v>2.2</v>
      </c>
    </row>
    <row r="657" spans="1:14">
      <c r="A657" s="1" t="s">
        <v>669</v>
      </c>
      <c r="B657">
        <f>HYPERLINK("https://www.suredividend.com/sure-analysis-GATX/","GATX Corp.")</f>
        <v>0</v>
      </c>
      <c r="C657" t="s">
        <v>1924</v>
      </c>
      <c r="D657">
        <v>90.53</v>
      </c>
      <c r="E657">
        <v>0.02297580912404728</v>
      </c>
      <c r="F657">
        <v>0.04000000000000004</v>
      </c>
      <c r="G657">
        <v>0.04364022715043592</v>
      </c>
      <c r="H657">
        <v>2.043799550294578</v>
      </c>
      <c r="I657">
        <v>3195.709</v>
      </c>
      <c r="J657">
        <v>17.80339275766017</v>
      </c>
      <c r="K657">
        <v>0.4104015161234092</v>
      </c>
      <c r="L657">
        <v>0.742043430136049</v>
      </c>
      <c r="M657">
        <v>126.22</v>
      </c>
      <c r="N657">
        <v>84.95999999999999</v>
      </c>
    </row>
    <row r="658" spans="1:14">
      <c r="A658" s="1" t="s">
        <v>670</v>
      </c>
      <c r="B658">
        <f>HYPERLINK("https://www.suredividend.com/sure-analysis-research-database/","Glacier Bancorp, Inc.")</f>
        <v>0</v>
      </c>
      <c r="C658" t="s">
        <v>1923</v>
      </c>
      <c r="D658">
        <v>49.98</v>
      </c>
      <c r="E658">
        <v>0.019551772685637</v>
      </c>
      <c r="F658">
        <v>0.03125</v>
      </c>
      <c r="G658">
        <v>0.0488372867840543</v>
      </c>
      <c r="H658">
        <v>0.977197598828159</v>
      </c>
      <c r="I658">
        <v>5536.056141</v>
      </c>
      <c r="J658">
        <v>20.46487677733212</v>
      </c>
      <c r="K658">
        <v>0.3862441102087585</v>
      </c>
      <c r="M658">
        <v>58.29</v>
      </c>
      <c r="N658">
        <v>43.27</v>
      </c>
    </row>
    <row r="659" spans="1:14">
      <c r="A659" s="1" t="s">
        <v>671</v>
      </c>
      <c r="B659">
        <f>HYPERLINK("https://www.suredividend.com/sure-analysis-research-database/","Generation Bio Co")</f>
        <v>0</v>
      </c>
      <c r="C659" t="s">
        <v>1921</v>
      </c>
      <c r="D659">
        <v>5.53</v>
      </c>
      <c r="E659">
        <v>0</v>
      </c>
      <c r="H659">
        <v>0</v>
      </c>
      <c r="I659">
        <v>326.332063</v>
      </c>
      <c r="J659">
        <v>0</v>
      </c>
      <c r="K659" t="s">
        <v>1921</v>
      </c>
      <c r="L659">
        <v>1.817718639298205</v>
      </c>
      <c r="M659">
        <v>23.25</v>
      </c>
      <c r="N659">
        <v>3.96</v>
      </c>
    </row>
    <row r="660" spans="1:14">
      <c r="A660" s="1" t="s">
        <v>672</v>
      </c>
      <c r="B660">
        <f>HYPERLINK("https://www.suredividend.com/sure-analysis-research-database/","Gamco Investors Inc")</f>
        <v>0</v>
      </c>
      <c r="C660" t="s">
        <v>1923</v>
      </c>
      <c r="D660">
        <v>14.78</v>
      </c>
      <c r="E660">
        <v>0.010793687739407</v>
      </c>
      <c r="F660">
        <v>1</v>
      </c>
      <c r="G660">
        <v>0.1486983549970351</v>
      </c>
      <c r="H660">
        <v>0.159530704788446</v>
      </c>
      <c r="I660">
        <v>108.528254</v>
      </c>
      <c r="J660">
        <v>0</v>
      </c>
      <c r="K660" t="s">
        <v>1921</v>
      </c>
      <c r="L660">
        <v>0.8035066453292681</v>
      </c>
      <c r="M660">
        <v>29.58</v>
      </c>
      <c r="N660">
        <v>14.45</v>
      </c>
    </row>
    <row r="661" spans="1:14">
      <c r="A661" s="1" t="s">
        <v>673</v>
      </c>
      <c r="B661">
        <f>HYPERLINK("https://www.suredividend.com/sure-analysis-research-database/","GreenBox POS")</f>
        <v>0</v>
      </c>
      <c r="C661" t="s">
        <v>1921</v>
      </c>
      <c r="D661">
        <v>0.98</v>
      </c>
      <c r="E661">
        <v>0</v>
      </c>
      <c r="H661">
        <v>0</v>
      </c>
      <c r="I661">
        <v>44.056399</v>
      </c>
      <c r="J661">
        <v>0</v>
      </c>
      <c r="K661" t="s">
        <v>1921</v>
      </c>
      <c r="L661">
        <v>1.546741892553517</v>
      </c>
      <c r="M661">
        <v>9</v>
      </c>
      <c r="N661">
        <v>0.72</v>
      </c>
    </row>
    <row r="662" spans="1:14">
      <c r="A662" s="1" t="s">
        <v>674</v>
      </c>
      <c r="B662">
        <f>HYPERLINK("https://www.suredividend.com/sure-analysis-research-database/","Global Blood Therapeutics Inc.")</f>
        <v>0</v>
      </c>
      <c r="C662" t="s">
        <v>1922</v>
      </c>
      <c r="D662">
        <v>68.48999999999999</v>
      </c>
      <c r="E662">
        <v>0</v>
      </c>
      <c r="H662">
        <v>0</v>
      </c>
      <c r="I662">
        <v>0</v>
      </c>
      <c r="J662">
        <v>0</v>
      </c>
      <c r="K662" t="s">
        <v>1921</v>
      </c>
    </row>
    <row r="663" spans="1:14">
      <c r="A663" s="1" t="s">
        <v>675</v>
      </c>
      <c r="B663">
        <f>HYPERLINK("https://www.suredividend.com/sure-analysis-research-database/","Greenbrier Cos., Inc.")</f>
        <v>0</v>
      </c>
      <c r="C663" t="s">
        <v>1924</v>
      </c>
      <c r="D663">
        <v>24.91</v>
      </c>
      <c r="E663">
        <v>0.04287344081532</v>
      </c>
      <c r="F663">
        <v>0</v>
      </c>
      <c r="G663">
        <v>0.03258826616987576</v>
      </c>
      <c r="H663">
        <v>1.067977410709623</v>
      </c>
      <c r="I663">
        <v>811.759258</v>
      </c>
      <c r="J663">
        <v>13.88168439318022</v>
      </c>
      <c r="K663">
        <v>0.6282220062997781</v>
      </c>
      <c r="L663">
        <v>1.013621117346076</v>
      </c>
      <c r="M663">
        <v>52.68</v>
      </c>
      <c r="N663">
        <v>24.22</v>
      </c>
    </row>
    <row r="664" spans="1:14">
      <c r="A664" s="1" t="s">
        <v>676</v>
      </c>
      <c r="B664">
        <f>HYPERLINK("https://www.suredividend.com/sure-analysis-research-database/","Gannett Co Inc.")</f>
        <v>0</v>
      </c>
      <c r="C664" t="s">
        <v>1931</v>
      </c>
      <c r="D664">
        <v>1.46</v>
      </c>
      <c r="E664">
        <v>0</v>
      </c>
      <c r="H664">
        <v>0</v>
      </c>
      <c r="I664">
        <v>214.023029</v>
      </c>
      <c r="J664">
        <v>0</v>
      </c>
      <c r="K664" t="s">
        <v>1921</v>
      </c>
      <c r="L664">
        <v>1.263267207638054</v>
      </c>
      <c r="M664">
        <v>6.38</v>
      </c>
      <c r="N664">
        <v>1.45</v>
      </c>
    </row>
    <row r="665" spans="1:14">
      <c r="A665" s="1" t="s">
        <v>677</v>
      </c>
      <c r="B665">
        <f>HYPERLINK("https://www.suredividend.com/sure-analysis-research-database/","GCM Grosvenor Inc")</f>
        <v>0</v>
      </c>
      <c r="C665" t="s">
        <v>1921</v>
      </c>
      <c r="D665">
        <v>7.5</v>
      </c>
      <c r="E665">
        <v>0.05238704631915601</v>
      </c>
      <c r="H665">
        <v>0.392902847393675</v>
      </c>
      <c r="I665">
        <v>315.339645</v>
      </c>
      <c r="J665">
        <v>0</v>
      </c>
      <c r="K665" t="s">
        <v>1921</v>
      </c>
      <c r="L665">
        <v>0.613938981556672</v>
      </c>
      <c r="M665">
        <v>11.86</v>
      </c>
      <c r="N665">
        <v>6.18</v>
      </c>
    </row>
    <row r="666" spans="1:14">
      <c r="A666" s="1" t="s">
        <v>678</v>
      </c>
      <c r="B666">
        <f>HYPERLINK("https://www.suredividend.com/sure-analysis-research-database/","Genesco Inc.")</f>
        <v>0</v>
      </c>
      <c r="C666" t="s">
        <v>1927</v>
      </c>
      <c r="D666">
        <v>41.18</v>
      </c>
      <c r="E666">
        <v>0</v>
      </c>
      <c r="H666">
        <v>0</v>
      </c>
      <c r="I666">
        <v>538.185579</v>
      </c>
      <c r="J666">
        <v>5.000562872752613</v>
      </c>
      <c r="K666">
        <v>0</v>
      </c>
      <c r="L666">
        <v>1.182805506109798</v>
      </c>
      <c r="M666">
        <v>73.72</v>
      </c>
      <c r="N666">
        <v>37.54</v>
      </c>
    </row>
    <row r="667" spans="1:14">
      <c r="A667" s="1" t="s">
        <v>679</v>
      </c>
      <c r="B667">
        <f>HYPERLINK("https://www.suredividend.com/sure-analysis-research-database/","GCP Applied Technologies Inc")</f>
        <v>0</v>
      </c>
      <c r="C667" t="s">
        <v>1925</v>
      </c>
      <c r="D667">
        <v>32.01</v>
      </c>
      <c r="E667">
        <v>0</v>
      </c>
      <c r="H667">
        <v>0</v>
      </c>
      <c r="I667">
        <v>2369.103281</v>
      </c>
      <c r="J667">
        <v>215.37302559</v>
      </c>
      <c r="K667">
        <v>0</v>
      </c>
      <c r="L667">
        <v>0.140050265907739</v>
      </c>
      <c r="M667">
        <v>32.28</v>
      </c>
      <c r="N667">
        <v>20.76</v>
      </c>
    </row>
    <row r="668" spans="1:14">
      <c r="A668" s="1" t="s">
        <v>680</v>
      </c>
      <c r="B668">
        <f>HYPERLINK("https://www.suredividend.com/sure-analysis-research-database/","Golden Entertainment Inc")</f>
        <v>0</v>
      </c>
      <c r="C668" t="s">
        <v>1927</v>
      </c>
      <c r="D668">
        <v>38.18</v>
      </c>
      <c r="E668">
        <v>0</v>
      </c>
      <c r="H668">
        <v>0</v>
      </c>
      <c r="I668">
        <v>1088.335676</v>
      </c>
      <c r="J668">
        <v>10.32223980101673</v>
      </c>
      <c r="K668">
        <v>0</v>
      </c>
      <c r="L668">
        <v>1.419766309454947</v>
      </c>
      <c r="M668">
        <v>59.96</v>
      </c>
      <c r="N668">
        <v>32.53</v>
      </c>
    </row>
    <row r="669" spans="1:14">
      <c r="A669" s="1" t="s">
        <v>681</v>
      </c>
      <c r="B669">
        <f>HYPERLINK("https://www.suredividend.com/sure-analysis-research-database/","Green Dot Corp.")</f>
        <v>0</v>
      </c>
      <c r="C669" t="s">
        <v>1923</v>
      </c>
      <c r="D669">
        <v>19.16</v>
      </c>
      <c r="E669">
        <v>0</v>
      </c>
      <c r="H669">
        <v>0</v>
      </c>
      <c r="I669">
        <v>1029.853372</v>
      </c>
      <c r="J669">
        <v>20.47178014869002</v>
      </c>
      <c r="K669">
        <v>0</v>
      </c>
      <c r="L669">
        <v>1.169230931368174</v>
      </c>
      <c r="M669">
        <v>46.27</v>
      </c>
      <c r="N669">
        <v>18.09</v>
      </c>
    </row>
    <row r="670" spans="1:14">
      <c r="A670" s="1" t="s">
        <v>682</v>
      </c>
      <c r="B670">
        <f>HYPERLINK("https://www.suredividend.com/sure-analysis-research-database/","Grid Dynamics Holdings Inc")</f>
        <v>0</v>
      </c>
      <c r="C670" t="s">
        <v>1920</v>
      </c>
      <c r="D670">
        <v>15.52</v>
      </c>
      <c r="E670">
        <v>0</v>
      </c>
      <c r="H670">
        <v>0</v>
      </c>
      <c r="I670">
        <v>1044.425586</v>
      </c>
      <c r="J670">
        <v>0</v>
      </c>
      <c r="K670" t="s">
        <v>1921</v>
      </c>
      <c r="L670">
        <v>1.789058454089041</v>
      </c>
      <c r="M670">
        <v>42.81</v>
      </c>
      <c r="N670">
        <v>9.09</v>
      </c>
    </row>
    <row r="671" spans="1:14">
      <c r="A671" s="1" t="s">
        <v>683</v>
      </c>
      <c r="B671">
        <f>HYPERLINK("https://www.suredividend.com/sure-analysis-GEF/","Greif Inc")</f>
        <v>0</v>
      </c>
      <c r="C671" t="s">
        <v>1927</v>
      </c>
      <c r="D671">
        <v>60.73</v>
      </c>
      <c r="E671">
        <v>0.03293265272517702</v>
      </c>
      <c r="F671">
        <v>0.08695652173913038</v>
      </c>
      <c r="G671">
        <v>0.03548578845590522</v>
      </c>
      <c r="H671">
        <v>1.85913484755933</v>
      </c>
      <c r="I671">
        <v>2945.95803</v>
      </c>
      <c r="J671">
        <v>7.717993265679853</v>
      </c>
      <c r="K671">
        <v>0.2904898199311453</v>
      </c>
      <c r="L671">
        <v>0.726064320546373</v>
      </c>
      <c r="M671">
        <v>72.25</v>
      </c>
      <c r="N671">
        <v>52.43</v>
      </c>
    </row>
    <row r="672" spans="1:14">
      <c r="A672" s="1" t="s">
        <v>684</v>
      </c>
      <c r="B672">
        <f>HYPERLINK("https://www.suredividend.com/sure-analysis-research-database/","Greif Inc")</f>
        <v>0</v>
      </c>
      <c r="C672" t="s">
        <v>1921</v>
      </c>
      <c r="D672">
        <v>58.38</v>
      </c>
      <c r="E672">
        <v>0</v>
      </c>
      <c r="H672">
        <v>2.702605818114876</v>
      </c>
      <c r="I672">
        <v>2827.622125</v>
      </c>
      <c r="J672">
        <v>0</v>
      </c>
      <c r="K672" t="s">
        <v>1921</v>
      </c>
      <c r="L672">
        <v>0.815879396192671</v>
      </c>
    </row>
    <row r="673" spans="1:14">
      <c r="A673" s="1" t="s">
        <v>685</v>
      </c>
      <c r="B673">
        <f>HYPERLINK("https://www.suredividend.com/sure-analysis-research-database/","Geo Group, Inc.")</f>
        <v>0</v>
      </c>
      <c r="C673" t="s">
        <v>1929</v>
      </c>
      <c r="D673">
        <v>8.42</v>
      </c>
      <c r="E673">
        <v>0</v>
      </c>
      <c r="H673">
        <v>0</v>
      </c>
      <c r="I673">
        <v>1044.841665</v>
      </c>
      <c r="J673">
        <v>16.64211115716038</v>
      </c>
      <c r="K673">
        <v>0</v>
      </c>
      <c r="L673">
        <v>0.842089574394657</v>
      </c>
      <c r="M673">
        <v>9.81</v>
      </c>
      <c r="N673">
        <v>5.21</v>
      </c>
    </row>
    <row r="674" spans="1:14">
      <c r="A674" s="1" t="s">
        <v>686</v>
      </c>
      <c r="B674">
        <f>HYPERLINK("https://www.suredividend.com/sure-analysis-research-database/","Geron Corp.")</f>
        <v>0</v>
      </c>
      <c r="C674" t="s">
        <v>1922</v>
      </c>
      <c r="D674">
        <v>2.1</v>
      </c>
      <c r="E674">
        <v>0</v>
      </c>
      <c r="H674">
        <v>0</v>
      </c>
      <c r="I674">
        <v>793.419638</v>
      </c>
      <c r="J674" t="s">
        <v>1921</v>
      </c>
      <c r="K674">
        <v>-0</v>
      </c>
      <c r="L674">
        <v>1.376879457256285</v>
      </c>
      <c r="M674">
        <v>3.06</v>
      </c>
      <c r="N674">
        <v>0.9899</v>
      </c>
    </row>
    <row r="675" spans="1:14">
      <c r="A675" s="1" t="s">
        <v>687</v>
      </c>
      <c r="B675">
        <f>HYPERLINK("https://www.suredividend.com/sure-analysis-research-database/","Guess Inc.")</f>
        <v>0</v>
      </c>
      <c r="C675" t="s">
        <v>1927</v>
      </c>
      <c r="D675">
        <v>15.08</v>
      </c>
      <c r="E675">
        <v>0.05919944159593801</v>
      </c>
      <c r="H675">
        <v>0.8927275792667461</v>
      </c>
      <c r="I675">
        <v>820.924497</v>
      </c>
      <c r="J675">
        <v>6.393692148665068</v>
      </c>
      <c r="K675">
        <v>0.4799610641219065</v>
      </c>
      <c r="L675">
        <v>1.568950100876967</v>
      </c>
      <c r="M675">
        <v>24.73</v>
      </c>
      <c r="N675">
        <v>14.27</v>
      </c>
    </row>
    <row r="676" spans="1:14">
      <c r="A676" s="1" t="s">
        <v>688</v>
      </c>
      <c r="B676">
        <f>HYPERLINK("https://www.suredividend.com/sure-analysis-research-database/","Gevo Inc")</f>
        <v>0</v>
      </c>
      <c r="C676" t="s">
        <v>1925</v>
      </c>
      <c r="D676">
        <v>2.23</v>
      </c>
      <c r="E676">
        <v>0</v>
      </c>
      <c r="H676">
        <v>0</v>
      </c>
      <c r="I676">
        <v>524.420071</v>
      </c>
      <c r="J676">
        <v>0</v>
      </c>
      <c r="K676" t="s">
        <v>1921</v>
      </c>
      <c r="L676">
        <v>2.016714168353133</v>
      </c>
      <c r="M676">
        <v>7.93</v>
      </c>
      <c r="N676">
        <v>2.12</v>
      </c>
    </row>
    <row r="677" spans="1:14">
      <c r="A677" s="1" t="s">
        <v>689</v>
      </c>
      <c r="B677">
        <f>HYPERLINK("https://www.suredividend.com/sure-analysis-research-database/","Griffon Corp.")</f>
        <v>0</v>
      </c>
      <c r="C677" t="s">
        <v>1924</v>
      </c>
      <c r="D677">
        <v>30.74</v>
      </c>
      <c r="E677">
        <v>0.011051878730317</v>
      </c>
      <c r="F677">
        <v>0</v>
      </c>
      <c r="G677">
        <v>-0.3821991494325881</v>
      </c>
      <c r="H677">
        <v>0.339734752169971</v>
      </c>
      <c r="I677">
        <v>1754.145393</v>
      </c>
      <c r="J677">
        <v>7.273601555111417</v>
      </c>
      <c r="K677">
        <v>0.07566475549442561</v>
      </c>
      <c r="L677">
        <v>1.126154172498139</v>
      </c>
      <c r="M677">
        <v>34.92</v>
      </c>
      <c r="N677">
        <v>16.23</v>
      </c>
    </row>
    <row r="678" spans="1:14">
      <c r="A678" s="1" t="s">
        <v>690</v>
      </c>
      <c r="B678">
        <f>HYPERLINK("https://www.suredividend.com/sure-analysis-research-database/","Graham Holdings Co.")</f>
        <v>0</v>
      </c>
      <c r="C678" t="s">
        <v>1928</v>
      </c>
      <c r="D678">
        <v>551.08</v>
      </c>
      <c r="E678">
        <v>0.011296303757111</v>
      </c>
      <c r="F678">
        <v>0.04635761589403975</v>
      </c>
      <c r="G678">
        <v>0.04464967430696332</v>
      </c>
      <c r="H678">
        <v>6.2251670744692</v>
      </c>
      <c r="I678">
        <v>2137.264035</v>
      </c>
      <c r="J678">
        <v>14.2347615257353</v>
      </c>
      <c r="K678">
        <v>0.2034368324989934</v>
      </c>
      <c r="L678">
        <v>0.663777580693337</v>
      </c>
      <c r="M678">
        <v>669.61</v>
      </c>
      <c r="N678">
        <v>525.58</v>
      </c>
    </row>
    <row r="679" spans="1:14">
      <c r="A679" s="1" t="s">
        <v>691</v>
      </c>
      <c r="B679">
        <f>HYPERLINK("https://www.suredividend.com/sure-analysis-research-database/","Greenhill &amp; Co Inc")</f>
        <v>0</v>
      </c>
      <c r="C679" t="s">
        <v>1923</v>
      </c>
      <c r="D679">
        <v>6.15</v>
      </c>
      <c r="E679">
        <v>0.05635381647933101</v>
      </c>
      <c r="F679">
        <v>1</v>
      </c>
      <c r="G679">
        <v>0.1486983549970351</v>
      </c>
      <c r="H679">
        <v>0.346575971347889</v>
      </c>
      <c r="I679">
        <v>110.035173</v>
      </c>
      <c r="J679">
        <v>6.040909838045568</v>
      </c>
      <c r="K679">
        <v>0.4353969489295088</v>
      </c>
      <c r="L679">
        <v>1.148606262897601</v>
      </c>
      <c r="M679">
        <v>19.95</v>
      </c>
      <c r="N679">
        <v>5.86</v>
      </c>
    </row>
    <row r="680" spans="1:14">
      <c r="A680" s="1" t="s">
        <v>692</v>
      </c>
      <c r="B680">
        <f>HYPERLINK("https://www.suredividend.com/sure-analysis-research-database/","Global Industrial Co")</f>
        <v>0</v>
      </c>
      <c r="C680" t="s">
        <v>1921</v>
      </c>
      <c r="D680">
        <v>27.93</v>
      </c>
      <c r="E680">
        <v>0.024723516760278</v>
      </c>
      <c r="F680">
        <v>0.125</v>
      </c>
      <c r="G680">
        <v>0.1035092145999348</v>
      </c>
      <c r="H680">
        <v>0.6905278231145741</v>
      </c>
      <c r="I680">
        <v>1059.317784</v>
      </c>
      <c r="J680">
        <v>9.55200887475203</v>
      </c>
      <c r="K680">
        <v>0.237294784575455</v>
      </c>
      <c r="L680">
        <v>1.080330483299669</v>
      </c>
      <c r="M680">
        <v>43.37</v>
      </c>
      <c r="N680">
        <v>26.19</v>
      </c>
    </row>
    <row r="681" spans="1:14">
      <c r="A681" s="1" t="s">
        <v>693</v>
      </c>
      <c r="B681">
        <f>HYPERLINK("https://www.suredividend.com/sure-analysis-research-database/","G-III Apparel Group Ltd.")</f>
        <v>0</v>
      </c>
      <c r="C681" t="s">
        <v>1927</v>
      </c>
      <c r="D681">
        <v>15.64</v>
      </c>
      <c r="E681">
        <v>0</v>
      </c>
      <c r="H681">
        <v>0</v>
      </c>
      <c r="I681">
        <v>742.69094</v>
      </c>
      <c r="J681">
        <v>3.34459593761962</v>
      </c>
      <c r="K681">
        <v>0</v>
      </c>
      <c r="L681">
        <v>1.444275451880299</v>
      </c>
      <c r="M681">
        <v>33.4</v>
      </c>
      <c r="N681">
        <v>14.37</v>
      </c>
    </row>
    <row r="682" spans="1:14">
      <c r="A682" s="1" t="s">
        <v>694</v>
      </c>
      <c r="B682">
        <f>HYPERLINK("https://www.suredividend.com/sure-analysis-research-database/","Glaukos Corporation")</f>
        <v>0</v>
      </c>
      <c r="C682" t="s">
        <v>1922</v>
      </c>
      <c r="D682">
        <v>53.58</v>
      </c>
      <c r="E682">
        <v>0</v>
      </c>
      <c r="H682">
        <v>0</v>
      </c>
      <c r="I682">
        <v>2536.131823</v>
      </c>
      <c r="J682" t="s">
        <v>1921</v>
      </c>
      <c r="K682">
        <v>-0</v>
      </c>
      <c r="L682">
        <v>1.314645210882858</v>
      </c>
      <c r="M682">
        <v>64.48999999999999</v>
      </c>
      <c r="N682">
        <v>33.33</v>
      </c>
    </row>
    <row r="683" spans="1:14">
      <c r="A683" s="1" t="s">
        <v>695</v>
      </c>
      <c r="B683">
        <f>HYPERLINK("https://www.suredividend.com/sure-analysis-research-database/","Great Lakes Dredge &amp; Dock Corporation")</f>
        <v>0</v>
      </c>
      <c r="C683" t="s">
        <v>1924</v>
      </c>
      <c r="D683">
        <v>7.37</v>
      </c>
      <c r="E683">
        <v>0</v>
      </c>
      <c r="H683">
        <v>0</v>
      </c>
      <c r="I683">
        <v>486.902145</v>
      </c>
      <c r="J683">
        <v>10.69245109251817</v>
      </c>
      <c r="K683">
        <v>0</v>
      </c>
      <c r="L683">
        <v>0.660246355278526</v>
      </c>
      <c r="M683">
        <v>16.27</v>
      </c>
      <c r="N683">
        <v>7.36</v>
      </c>
    </row>
    <row r="684" spans="1:14">
      <c r="A684" s="1" t="s">
        <v>696</v>
      </c>
      <c r="B684">
        <f>HYPERLINK("https://www.suredividend.com/sure-analysis-research-database/","Golar Lng")</f>
        <v>0</v>
      </c>
      <c r="C684" t="s">
        <v>1926</v>
      </c>
      <c r="D684">
        <v>24.98</v>
      </c>
      <c r="E684">
        <v>0</v>
      </c>
      <c r="H684">
        <v>0</v>
      </c>
      <c r="I684">
        <v>2703.400648</v>
      </c>
      <c r="J684">
        <v>6.532304254236428</v>
      </c>
      <c r="K684">
        <v>0</v>
      </c>
      <c r="L684">
        <v>0.829560988094975</v>
      </c>
      <c r="M684">
        <v>30.66</v>
      </c>
      <c r="N684">
        <v>10.79</v>
      </c>
    </row>
    <row r="685" spans="1:14">
      <c r="A685" s="1" t="s">
        <v>697</v>
      </c>
      <c r="B685">
        <f>HYPERLINK("https://www.suredividend.com/sure-analysis-research-database/","Greenlight Capital Re Ltd")</f>
        <v>0</v>
      </c>
      <c r="C685" t="s">
        <v>1923</v>
      </c>
      <c r="D685">
        <v>7.42</v>
      </c>
      <c r="E685">
        <v>0</v>
      </c>
      <c r="H685">
        <v>0</v>
      </c>
      <c r="I685">
        <v>211.191676</v>
      </c>
      <c r="J685">
        <v>10.82368162156621</v>
      </c>
      <c r="K685">
        <v>0</v>
      </c>
      <c r="L685">
        <v>0.541781874665991</v>
      </c>
      <c r="M685">
        <v>8.35</v>
      </c>
      <c r="N685">
        <v>6.51</v>
      </c>
    </row>
    <row r="686" spans="1:14">
      <c r="A686" s="1" t="s">
        <v>698</v>
      </c>
      <c r="B686">
        <f>HYPERLINK("https://www.suredividend.com/sure-analysis-research-database/","Greenwich LifeSciences Inc")</f>
        <v>0</v>
      </c>
      <c r="C686" t="s">
        <v>1921</v>
      </c>
      <c r="D686">
        <v>9.59</v>
      </c>
      <c r="E686">
        <v>0</v>
      </c>
      <c r="H686">
        <v>0</v>
      </c>
      <c r="I686">
        <v>122.979408</v>
      </c>
      <c r="J686">
        <v>0</v>
      </c>
      <c r="K686" t="s">
        <v>1921</v>
      </c>
      <c r="L686">
        <v>1.177280669706569</v>
      </c>
      <c r="M686">
        <v>40.25</v>
      </c>
      <c r="N686">
        <v>6.82</v>
      </c>
    </row>
    <row r="687" spans="1:14">
      <c r="A687" s="1" t="s">
        <v>699</v>
      </c>
      <c r="B687">
        <f>HYPERLINK("https://www.suredividend.com/sure-analysis-research-database/","Glatfelter Corporation")</f>
        <v>0</v>
      </c>
      <c r="C687" t="s">
        <v>1925</v>
      </c>
      <c r="D687">
        <v>2.77</v>
      </c>
      <c r="E687">
        <v>0.149098507953943</v>
      </c>
      <c r="H687">
        <v>0.413002867032422</v>
      </c>
      <c r="I687">
        <v>124.086319</v>
      </c>
      <c r="J687" t="s">
        <v>1921</v>
      </c>
      <c r="K687" t="s">
        <v>1921</v>
      </c>
      <c r="L687">
        <v>1.065333042962785</v>
      </c>
      <c r="M687">
        <v>18.17</v>
      </c>
      <c r="N687">
        <v>2.62</v>
      </c>
    </row>
    <row r="688" spans="1:14">
      <c r="A688" s="1" t="s">
        <v>700</v>
      </c>
      <c r="B688">
        <f>HYPERLINK("https://www.suredividend.com/sure-analysis-research-database/","Monte Rosa Therapeutics Inc")</f>
        <v>0</v>
      </c>
      <c r="C688" t="s">
        <v>1921</v>
      </c>
      <c r="D688">
        <v>6.96</v>
      </c>
      <c r="E688">
        <v>0</v>
      </c>
      <c r="H688">
        <v>0</v>
      </c>
      <c r="I688">
        <v>325.1288</v>
      </c>
      <c r="J688">
        <v>0</v>
      </c>
      <c r="K688" t="s">
        <v>1921</v>
      </c>
      <c r="L688">
        <v>1.904559659220695</v>
      </c>
      <c r="M688">
        <v>27.57</v>
      </c>
      <c r="N688">
        <v>6.05</v>
      </c>
    </row>
    <row r="689" spans="1:14">
      <c r="A689" s="1" t="s">
        <v>701</v>
      </c>
      <c r="B689">
        <f>HYPERLINK("https://www.suredividend.com/sure-analysis-GMRE/","Global Medical REIT Inc")</f>
        <v>0</v>
      </c>
      <c r="C689" t="s">
        <v>1929</v>
      </c>
      <c r="D689">
        <v>7.27</v>
      </c>
      <c r="E689">
        <v>0.1155433287482806</v>
      </c>
      <c r="F689">
        <v>0.02439024390243882</v>
      </c>
      <c r="G689">
        <v>0.009805797673485328</v>
      </c>
      <c r="H689">
        <v>0.811667095763118</v>
      </c>
      <c r="I689">
        <v>476.318085</v>
      </c>
      <c r="J689">
        <v>0</v>
      </c>
      <c r="K689" t="s">
        <v>1921</v>
      </c>
      <c r="L689">
        <v>0.8024703658948861</v>
      </c>
      <c r="M689">
        <v>17.55</v>
      </c>
      <c r="N689">
        <v>7.23</v>
      </c>
    </row>
    <row r="690" spans="1:14">
      <c r="A690" s="1" t="s">
        <v>702</v>
      </c>
      <c r="B690">
        <f>HYPERLINK("https://www.suredividend.com/sure-analysis-research-database/","GMS Inc")</f>
        <v>0</v>
      </c>
      <c r="C690" t="s">
        <v>1924</v>
      </c>
      <c r="D690">
        <v>43.39</v>
      </c>
      <c r="E690">
        <v>0</v>
      </c>
      <c r="H690">
        <v>0</v>
      </c>
      <c r="I690">
        <v>1840.031963</v>
      </c>
      <c r="J690">
        <v>6.098677416028637</v>
      </c>
      <c r="K690">
        <v>0</v>
      </c>
      <c r="L690">
        <v>1.315172854295531</v>
      </c>
      <c r="M690">
        <v>61.79</v>
      </c>
      <c r="N690">
        <v>36.1</v>
      </c>
    </row>
    <row r="691" spans="1:14">
      <c r="A691" s="1" t="s">
        <v>703</v>
      </c>
      <c r="B691">
        <f>HYPERLINK("https://www.suredividend.com/sure-analysis-research-database/","Gemini Therapeutics Inc")</f>
        <v>0</v>
      </c>
      <c r="C691" t="s">
        <v>1921</v>
      </c>
      <c r="D691">
        <v>1.65</v>
      </c>
      <c r="E691">
        <v>0</v>
      </c>
      <c r="H691">
        <v>0</v>
      </c>
      <c r="I691">
        <v>71.353347</v>
      </c>
      <c r="J691">
        <v>0</v>
      </c>
      <c r="K691" t="s">
        <v>1921</v>
      </c>
      <c r="L691">
        <v>0.8046914063609181</v>
      </c>
      <c r="M691">
        <v>4.05</v>
      </c>
      <c r="N691">
        <v>1.16</v>
      </c>
    </row>
    <row r="692" spans="1:14">
      <c r="A692" s="1" t="s">
        <v>704</v>
      </c>
      <c r="B692">
        <f>HYPERLINK("https://www.suredividend.com/sure-analysis-research-database/","Genco Shipping &amp; Trading Limited")</f>
        <v>0</v>
      </c>
      <c r="C692" t="s">
        <v>1924</v>
      </c>
      <c r="D692">
        <v>13.27</v>
      </c>
      <c r="E692">
        <v>0.153017237342054</v>
      </c>
      <c r="H692">
        <v>2.030538739529057</v>
      </c>
      <c r="I692">
        <v>561.074271</v>
      </c>
      <c r="J692">
        <v>0</v>
      </c>
      <c r="K692" t="s">
        <v>1921</v>
      </c>
      <c r="L692">
        <v>0.654704134266589</v>
      </c>
      <c r="M692">
        <v>26.38</v>
      </c>
      <c r="N692">
        <v>11.92</v>
      </c>
    </row>
    <row r="693" spans="1:14">
      <c r="A693" s="1" t="s">
        <v>705</v>
      </c>
      <c r="B693">
        <f>HYPERLINK("https://www.suredividend.com/sure-analysis-GNL/","Global Net Lease Inc")</f>
        <v>0</v>
      </c>
      <c r="C693" t="s">
        <v>1929</v>
      </c>
      <c r="D693">
        <v>10.48</v>
      </c>
      <c r="E693">
        <v>0.1526717557251908</v>
      </c>
      <c r="F693">
        <v>0</v>
      </c>
      <c r="G693">
        <v>0.1764468921689097</v>
      </c>
      <c r="H693">
        <v>1.167926632268858</v>
      </c>
      <c r="I693">
        <v>1086.646939</v>
      </c>
      <c r="J693">
        <v>0</v>
      </c>
      <c r="K693" t="s">
        <v>1921</v>
      </c>
      <c r="L693">
        <v>0.6978442362112131</v>
      </c>
      <c r="M693">
        <v>15.36</v>
      </c>
      <c r="N693">
        <v>10.19</v>
      </c>
    </row>
    <row r="694" spans="1:14">
      <c r="A694" s="1" t="s">
        <v>706</v>
      </c>
      <c r="B694">
        <f>HYPERLINK("https://www.suredividend.com/sure-analysis-research-database/","Greenlane Holdings Inc")</f>
        <v>0</v>
      </c>
      <c r="C694" t="s">
        <v>1922</v>
      </c>
      <c r="D694">
        <v>1.58</v>
      </c>
      <c r="E694">
        <v>0</v>
      </c>
      <c r="H694">
        <v>0</v>
      </c>
      <c r="I694">
        <v>11.802608</v>
      </c>
      <c r="J694">
        <v>0</v>
      </c>
      <c r="K694" t="s">
        <v>1921</v>
      </c>
      <c r="L694">
        <v>1.70612512058064</v>
      </c>
      <c r="M694">
        <v>49.4</v>
      </c>
      <c r="N694">
        <v>1.3</v>
      </c>
    </row>
    <row r="695" spans="1:14">
      <c r="A695" s="1" t="s">
        <v>707</v>
      </c>
      <c r="B695">
        <f>HYPERLINK("https://www.suredividend.com/sure-analysis-research-database/","Golden Nugget Online Gaming Inc")</f>
        <v>0</v>
      </c>
      <c r="C695" t="s">
        <v>1921</v>
      </c>
      <c r="D695">
        <v>5.78</v>
      </c>
      <c r="E695">
        <v>0</v>
      </c>
      <c r="H695">
        <v>0</v>
      </c>
      <c r="I695">
        <v>0</v>
      </c>
      <c r="J695">
        <v>0</v>
      </c>
      <c r="K695" t="s">
        <v>1921</v>
      </c>
    </row>
    <row r="696" spans="1:14">
      <c r="A696" s="1" t="s">
        <v>708</v>
      </c>
      <c r="B696">
        <f>HYPERLINK("https://www.suredividend.com/sure-analysis-research-database/","Guaranty Bancshares, Inc. (TX)")</f>
        <v>0</v>
      </c>
      <c r="C696" t="s">
        <v>1923</v>
      </c>
      <c r="D696">
        <v>35.53</v>
      </c>
      <c r="E696">
        <v>0.023986273743123</v>
      </c>
      <c r="F696">
        <v>0.09999999999999987</v>
      </c>
      <c r="G696">
        <v>0.09460878422315755</v>
      </c>
      <c r="H696">
        <v>0.8522323060931891</v>
      </c>
      <c r="I696">
        <v>429.439243</v>
      </c>
      <c r="J696">
        <v>0</v>
      </c>
      <c r="K696" t="s">
        <v>1921</v>
      </c>
      <c r="L696">
        <v>0.430285901052238</v>
      </c>
      <c r="M696">
        <v>43.78</v>
      </c>
      <c r="N696">
        <v>33.27</v>
      </c>
    </row>
    <row r="697" spans="1:14">
      <c r="A697" s="1" t="s">
        <v>709</v>
      </c>
      <c r="B697">
        <f>HYPERLINK("https://www.suredividend.com/sure-analysis-research-database/","Genius Brands International Inc")</f>
        <v>0</v>
      </c>
      <c r="C697" t="s">
        <v>1931</v>
      </c>
      <c r="D697">
        <v>0.6469</v>
      </c>
      <c r="E697">
        <v>0</v>
      </c>
      <c r="H697">
        <v>0</v>
      </c>
      <c r="I697">
        <v>205.219397</v>
      </c>
      <c r="J697" t="s">
        <v>1921</v>
      </c>
      <c r="K697">
        <v>-0</v>
      </c>
      <c r="L697">
        <v>1.271598755297924</v>
      </c>
      <c r="M697">
        <v>2.32</v>
      </c>
      <c r="N697">
        <v>0.51</v>
      </c>
    </row>
    <row r="698" spans="1:14">
      <c r="A698" s="1" t="s">
        <v>710</v>
      </c>
      <c r="B698">
        <f>HYPERLINK("https://www.suredividend.com/sure-analysis-research-database/","Genworth Financial Inc")</f>
        <v>0</v>
      </c>
      <c r="C698" t="s">
        <v>1923</v>
      </c>
      <c r="D698">
        <v>4</v>
      </c>
      <c r="E698">
        <v>0</v>
      </c>
      <c r="H698">
        <v>0</v>
      </c>
      <c r="I698">
        <v>2014.863472</v>
      </c>
      <c r="J698">
        <v>2.496732926889715</v>
      </c>
      <c r="K698">
        <v>0</v>
      </c>
      <c r="L698">
        <v>0.926846575497802</v>
      </c>
      <c r="M698">
        <v>4.61</v>
      </c>
      <c r="N698">
        <v>3.43</v>
      </c>
    </row>
    <row r="699" spans="1:14">
      <c r="A699" s="1" t="s">
        <v>711</v>
      </c>
      <c r="B699">
        <f>HYPERLINK("https://www.suredividend.com/sure-analysis-research-database/","Canoo Inc")</f>
        <v>0</v>
      </c>
      <c r="C699" t="s">
        <v>1921</v>
      </c>
      <c r="D699">
        <v>1.37</v>
      </c>
      <c r="E699">
        <v>0</v>
      </c>
      <c r="H699">
        <v>0</v>
      </c>
      <c r="I699">
        <v>374.517656</v>
      </c>
      <c r="J699">
        <v>0</v>
      </c>
      <c r="K699" t="s">
        <v>1921</v>
      </c>
      <c r="L699">
        <v>1.915067085483108</v>
      </c>
      <c r="M699">
        <v>13.35</v>
      </c>
      <c r="N699">
        <v>1.36</v>
      </c>
    </row>
    <row r="700" spans="1:14">
      <c r="A700" s="1" t="s">
        <v>712</v>
      </c>
      <c r="B700">
        <f>HYPERLINK("https://www.suredividend.com/sure-analysis-research-database/","Gogo Inc")</f>
        <v>0</v>
      </c>
      <c r="C700" t="s">
        <v>1931</v>
      </c>
      <c r="D700">
        <v>12.54</v>
      </c>
      <c r="E700">
        <v>0</v>
      </c>
      <c r="H700">
        <v>0</v>
      </c>
      <c r="I700">
        <v>1613.752185</v>
      </c>
      <c r="J700">
        <v>5.89216552035373</v>
      </c>
      <c r="K700">
        <v>0</v>
      </c>
      <c r="L700">
        <v>0.9397172830377111</v>
      </c>
      <c r="M700">
        <v>23.69</v>
      </c>
      <c r="N700">
        <v>11.57</v>
      </c>
    </row>
    <row r="701" spans="1:14">
      <c r="A701" s="1" t="s">
        <v>713</v>
      </c>
      <c r="B701">
        <f>HYPERLINK("https://www.suredividend.com/sure-analysis-research-database/","Acushnet Holdings Corp")</f>
        <v>0</v>
      </c>
      <c r="C701" t="s">
        <v>1927</v>
      </c>
      <c r="D701">
        <v>44.07</v>
      </c>
      <c r="E701">
        <v>0.015902718481834</v>
      </c>
      <c r="F701">
        <v>0.09090909090909083</v>
      </c>
      <c r="G701">
        <v>0.08447177119769855</v>
      </c>
      <c r="H701">
        <v>0.7008328034944381</v>
      </c>
      <c r="I701">
        <v>3136.149311</v>
      </c>
      <c r="J701">
        <v>19.56071148382389</v>
      </c>
      <c r="K701">
        <v>0.3259687458113666</v>
      </c>
      <c r="L701">
        <v>1.019221254768956</v>
      </c>
      <c r="M701">
        <v>56.98</v>
      </c>
      <c r="N701">
        <v>37.15</v>
      </c>
    </row>
    <row r="702" spans="1:14">
      <c r="A702" s="1" t="s">
        <v>714</v>
      </c>
      <c r="B702">
        <f>HYPERLINK("https://www.suredividend.com/sure-analysis-GOOD/","Gladstone Commercial Corp")</f>
        <v>0</v>
      </c>
      <c r="C702" t="s">
        <v>1929</v>
      </c>
      <c r="D702">
        <v>15.38</v>
      </c>
      <c r="E702">
        <v>0.09752925877763328</v>
      </c>
      <c r="F702">
        <v>0</v>
      </c>
      <c r="G702">
        <v>0.000399201724016196</v>
      </c>
      <c r="H702">
        <v>1.460375761013748</v>
      </c>
      <c r="I702">
        <v>608.00985</v>
      </c>
      <c r="J702">
        <v>2375.0384765625</v>
      </c>
      <c r="K702">
        <v>214.7611413255512</v>
      </c>
      <c r="L702">
        <v>0.760376538713967</v>
      </c>
      <c r="M702">
        <v>24.89</v>
      </c>
      <c r="N702">
        <v>15.09</v>
      </c>
    </row>
    <row r="703" spans="1:14">
      <c r="A703" s="1" t="s">
        <v>715</v>
      </c>
      <c r="B703">
        <f>HYPERLINK("https://www.suredividend.com/sure-analysis-research-database/","Gossamer Bio Inc")</f>
        <v>0</v>
      </c>
      <c r="C703" t="s">
        <v>1922</v>
      </c>
      <c r="D703">
        <v>12.2</v>
      </c>
      <c r="E703">
        <v>0</v>
      </c>
      <c r="H703">
        <v>0</v>
      </c>
      <c r="I703">
        <v>1146.239373</v>
      </c>
      <c r="J703">
        <v>0</v>
      </c>
      <c r="K703" t="s">
        <v>1921</v>
      </c>
      <c r="L703">
        <v>1.068492247589649</v>
      </c>
      <c r="M703">
        <v>15.2</v>
      </c>
      <c r="N703">
        <v>5.64</v>
      </c>
    </row>
    <row r="704" spans="1:14">
      <c r="A704" s="1" t="s">
        <v>716</v>
      </c>
      <c r="B704">
        <f>HYPERLINK("https://www.suredividend.com/sure-analysis-research-database/","Group 1 Automotive, Inc.")</f>
        <v>0</v>
      </c>
      <c r="C704" t="s">
        <v>1927</v>
      </c>
      <c r="D704">
        <v>152.32</v>
      </c>
      <c r="E704">
        <v>0.009565805071013001</v>
      </c>
      <c r="H704">
        <v>1.457063428416836</v>
      </c>
      <c r="I704">
        <v>2404.856492</v>
      </c>
      <c r="J704">
        <v>3.768776824196834</v>
      </c>
      <c r="K704">
        <v>0.03866941158218779</v>
      </c>
      <c r="L704">
        <v>1.020978933391274</v>
      </c>
      <c r="M704">
        <v>211.37</v>
      </c>
      <c r="N704">
        <v>136.16</v>
      </c>
    </row>
    <row r="705" spans="1:14">
      <c r="A705" s="1" t="s">
        <v>717</v>
      </c>
      <c r="B705">
        <f>HYPERLINK("https://www.suredividend.com/sure-analysis-research-database/","Granite Point Mortgage Trust Inc")</f>
        <v>0</v>
      </c>
      <c r="C705" t="s">
        <v>1929</v>
      </c>
      <c r="D705">
        <v>6.08</v>
      </c>
      <c r="E705">
        <v>0.157330484487635</v>
      </c>
      <c r="H705">
        <v>0.9565693456848241</v>
      </c>
      <c r="I705">
        <v>318.294013</v>
      </c>
      <c r="J705">
        <v>35.34636458856191</v>
      </c>
      <c r="K705">
        <v>5.227154894452591</v>
      </c>
      <c r="L705">
        <v>0.8296242836302331</v>
      </c>
      <c r="M705">
        <v>12.7</v>
      </c>
      <c r="N705">
        <v>6.05</v>
      </c>
    </row>
    <row r="706" spans="1:14">
      <c r="A706" s="1" t="s">
        <v>718</v>
      </c>
      <c r="B706">
        <f>HYPERLINK("https://www.suredividend.com/sure-analysis-research-database/","Green Plains Inc")</f>
        <v>0</v>
      </c>
      <c r="C706" t="s">
        <v>1925</v>
      </c>
      <c r="D706">
        <v>27.51</v>
      </c>
      <c r="E706">
        <v>0</v>
      </c>
      <c r="H706">
        <v>0</v>
      </c>
      <c r="I706">
        <v>1598.118843</v>
      </c>
      <c r="J706" t="s">
        <v>1921</v>
      </c>
      <c r="K706">
        <v>-0</v>
      </c>
      <c r="L706">
        <v>1.338714879965804</v>
      </c>
      <c r="M706">
        <v>44.27</v>
      </c>
      <c r="N706">
        <v>26.09</v>
      </c>
    </row>
    <row r="707" spans="1:14">
      <c r="A707" s="1" t="s">
        <v>719</v>
      </c>
      <c r="B707">
        <f>HYPERLINK("https://www.suredividend.com/sure-analysis-research-database/","GoPro Inc.")</f>
        <v>0</v>
      </c>
      <c r="C707" t="s">
        <v>1920</v>
      </c>
      <c r="D707">
        <v>5.03</v>
      </c>
      <c r="E707">
        <v>0</v>
      </c>
      <c r="H707">
        <v>0</v>
      </c>
      <c r="I707">
        <v>651.270366</v>
      </c>
      <c r="J707">
        <v>1.747949806356031</v>
      </c>
      <c r="K707">
        <v>0</v>
      </c>
      <c r="L707">
        <v>1.339421743847578</v>
      </c>
      <c r="M707">
        <v>12.14</v>
      </c>
      <c r="N707">
        <v>4.9</v>
      </c>
    </row>
    <row r="708" spans="1:14">
      <c r="A708" s="1" t="s">
        <v>720</v>
      </c>
      <c r="B708">
        <f>HYPERLINK("https://www.suredividend.com/sure-analysis-research-database/","Green Brick Partners Inc")</f>
        <v>0</v>
      </c>
      <c r="C708" t="s">
        <v>1927</v>
      </c>
      <c r="D708">
        <v>22.45</v>
      </c>
      <c r="E708">
        <v>0</v>
      </c>
      <c r="H708">
        <v>0</v>
      </c>
      <c r="I708">
        <v>1087.245036</v>
      </c>
      <c r="J708">
        <v>3.978181778216039</v>
      </c>
      <c r="K708">
        <v>0</v>
      </c>
      <c r="L708">
        <v>1.498089806489937</v>
      </c>
      <c r="M708">
        <v>32.25</v>
      </c>
      <c r="N708">
        <v>16.8</v>
      </c>
    </row>
    <row r="709" spans="1:14">
      <c r="A709" s="1" t="s">
        <v>721</v>
      </c>
      <c r="B709">
        <f>HYPERLINK("https://www.suredividend.com/sure-analysis-GRC/","Gorman-Rupp Co.")</f>
        <v>0</v>
      </c>
      <c r="C709" t="s">
        <v>1924</v>
      </c>
      <c r="D709">
        <v>24.11</v>
      </c>
      <c r="E709">
        <v>0.02820406470344256</v>
      </c>
      <c r="F709">
        <v>0.09677419354838723</v>
      </c>
      <c r="G709">
        <v>0.06342724238285391</v>
      </c>
      <c r="H709">
        <v>0.674170152502186</v>
      </c>
      <c r="I709">
        <v>629.147195</v>
      </c>
      <c r="J709">
        <v>28.76495954416605</v>
      </c>
      <c r="K709">
        <v>0.8046910390334042</v>
      </c>
      <c r="L709">
        <v>0.664289645859731</v>
      </c>
      <c r="M709">
        <v>46.18</v>
      </c>
      <c r="N709">
        <v>23.68</v>
      </c>
    </row>
    <row r="710" spans="1:14">
      <c r="A710" s="1" t="s">
        <v>722</v>
      </c>
      <c r="B710">
        <f>HYPERLINK("https://www.suredividend.com/sure-analysis-research-database/","Graphite Bio Inc")</f>
        <v>0</v>
      </c>
      <c r="C710" t="s">
        <v>1921</v>
      </c>
      <c r="D710">
        <v>3.06</v>
      </c>
      <c r="E710">
        <v>0</v>
      </c>
      <c r="H710">
        <v>0</v>
      </c>
      <c r="I710">
        <v>178.126248</v>
      </c>
      <c r="J710">
        <v>0</v>
      </c>
      <c r="K710" t="s">
        <v>1921</v>
      </c>
      <c r="L710">
        <v>1.571003733255954</v>
      </c>
      <c r="M710">
        <v>14.55</v>
      </c>
      <c r="N710">
        <v>2.07</v>
      </c>
    </row>
    <row r="711" spans="1:14">
      <c r="A711" s="1" t="s">
        <v>723</v>
      </c>
      <c r="B711">
        <f>HYPERLINK("https://www.suredividend.com/sure-analysis-research-database/","Groupon Inc")</f>
        <v>0</v>
      </c>
      <c r="C711" t="s">
        <v>1931</v>
      </c>
      <c r="D711">
        <v>8.09</v>
      </c>
      <c r="E711">
        <v>0</v>
      </c>
      <c r="H711">
        <v>0</v>
      </c>
      <c r="I711">
        <v>244.919888</v>
      </c>
      <c r="J711" t="s">
        <v>1921</v>
      </c>
      <c r="K711">
        <v>-0</v>
      </c>
      <c r="L711">
        <v>1.501745270543267</v>
      </c>
      <c r="M711">
        <v>31.15</v>
      </c>
      <c r="N711">
        <v>7.82</v>
      </c>
    </row>
    <row r="712" spans="1:14">
      <c r="A712" s="1" t="s">
        <v>724</v>
      </c>
      <c r="B712">
        <f>HYPERLINK("https://www.suredividend.com/sure-analysis-research-database/","Gritstone Bio Inc")</f>
        <v>0</v>
      </c>
      <c r="C712" t="s">
        <v>1922</v>
      </c>
      <c r="D712">
        <v>2.17</v>
      </c>
      <c r="E712">
        <v>0</v>
      </c>
      <c r="H712">
        <v>0</v>
      </c>
      <c r="I712">
        <v>158.003848</v>
      </c>
      <c r="J712">
        <v>0</v>
      </c>
      <c r="K712" t="s">
        <v>1921</v>
      </c>
      <c r="L712">
        <v>1.331565914425668</v>
      </c>
      <c r="M712">
        <v>14.42</v>
      </c>
      <c r="N712">
        <v>1.71</v>
      </c>
    </row>
    <row r="713" spans="1:14">
      <c r="A713" s="1" t="s">
        <v>725</v>
      </c>
      <c r="B713">
        <f>HYPERLINK("https://www.suredividend.com/sure-analysis-research-database/","GrowGeneration Corp")</f>
        <v>0</v>
      </c>
      <c r="C713" t="s">
        <v>1927</v>
      </c>
      <c r="D713">
        <v>3.55</v>
      </c>
      <c r="E713">
        <v>0</v>
      </c>
      <c r="H713">
        <v>0</v>
      </c>
      <c r="I713">
        <v>215.820344</v>
      </c>
      <c r="J713" t="s">
        <v>1921</v>
      </c>
      <c r="K713">
        <v>-0</v>
      </c>
      <c r="L713">
        <v>2.326240777110065</v>
      </c>
      <c r="M713">
        <v>25.96</v>
      </c>
      <c r="N713">
        <v>3.42</v>
      </c>
    </row>
    <row r="714" spans="1:14">
      <c r="A714" s="1" t="s">
        <v>726</v>
      </c>
      <c r="B714">
        <f>HYPERLINK("https://www.suredividend.com/sure-analysis-research-database/","Globalstar Inc.")</f>
        <v>0</v>
      </c>
      <c r="C714" t="s">
        <v>1931</v>
      </c>
      <c r="D714">
        <v>1.81</v>
      </c>
      <c r="E714">
        <v>0</v>
      </c>
      <c r="H714">
        <v>0</v>
      </c>
      <c r="I714">
        <v>3259.81</v>
      </c>
      <c r="J714" t="s">
        <v>1921</v>
      </c>
      <c r="K714">
        <v>-0</v>
      </c>
      <c r="L714">
        <v>1.51555104967105</v>
      </c>
      <c r="M714">
        <v>2.98</v>
      </c>
      <c r="N714">
        <v>0.9025000000000001</v>
      </c>
    </row>
    <row r="715" spans="1:14">
      <c r="A715" s="1" t="s">
        <v>727</v>
      </c>
      <c r="B715">
        <f>HYPERLINK("https://www.suredividend.com/sure-analysis-research-database/","Great Southern Bancorp, Inc.")</f>
        <v>0</v>
      </c>
      <c r="C715" t="s">
        <v>1923</v>
      </c>
      <c r="D715">
        <v>58.38</v>
      </c>
      <c r="E715">
        <v>0.025783244693932</v>
      </c>
      <c r="F715">
        <v>0.1111111111111112</v>
      </c>
      <c r="G715">
        <v>0.07394092378577932</v>
      </c>
      <c r="H715">
        <v>1.505225825231754</v>
      </c>
      <c r="I715">
        <v>719.236579</v>
      </c>
      <c r="J715">
        <v>10.15067996104776</v>
      </c>
      <c r="K715">
        <v>0.2803027607507922</v>
      </c>
      <c r="L715">
        <v>0.38882131876266</v>
      </c>
      <c r="M715">
        <v>63.51</v>
      </c>
      <c r="N715">
        <v>49.95</v>
      </c>
    </row>
    <row r="716" spans="1:14">
      <c r="A716" s="1" t="s">
        <v>728</v>
      </c>
      <c r="B716">
        <f>HYPERLINK("https://www.suredividend.com/sure-analysis-research-database/","Goosehead Insurance Inc")</f>
        <v>0</v>
      </c>
      <c r="C716" t="s">
        <v>1923</v>
      </c>
      <c r="D716">
        <v>32.86</v>
      </c>
      <c r="E716">
        <v>0</v>
      </c>
      <c r="H716">
        <v>0</v>
      </c>
      <c r="I716">
        <v>675.048238</v>
      </c>
      <c r="J716">
        <v>0</v>
      </c>
      <c r="K716" t="s">
        <v>1921</v>
      </c>
      <c r="L716">
        <v>2.037819486500431</v>
      </c>
      <c r="M716">
        <v>178.91</v>
      </c>
      <c r="N716">
        <v>32.01</v>
      </c>
    </row>
    <row r="717" spans="1:14">
      <c r="A717" s="1" t="s">
        <v>729</v>
      </c>
      <c r="B717">
        <f>HYPERLINK("https://www.suredividend.com/sure-analysis-research-database/","Goodyear Tire &amp; Rubber Co.")</f>
        <v>0</v>
      </c>
      <c r="C717" t="s">
        <v>1927</v>
      </c>
      <c r="D717">
        <v>11.04</v>
      </c>
      <c r="E717">
        <v>0</v>
      </c>
      <c r="H717">
        <v>0</v>
      </c>
      <c r="I717">
        <v>3122.143409</v>
      </c>
      <c r="J717">
        <v>3.296877939598733</v>
      </c>
      <c r="K717">
        <v>0</v>
      </c>
      <c r="L717">
        <v>1.864571610555181</v>
      </c>
      <c r="M717">
        <v>24.89</v>
      </c>
      <c r="N717">
        <v>10.07</v>
      </c>
    </row>
    <row r="718" spans="1:14">
      <c r="A718" s="1" t="s">
        <v>730</v>
      </c>
      <c r="B718">
        <f>HYPERLINK("https://www.suredividend.com/sure-analysis-research-database/","GT Biopharma Inc")</f>
        <v>0</v>
      </c>
      <c r="C718" t="s">
        <v>1922</v>
      </c>
      <c r="D718">
        <v>1.8</v>
      </c>
      <c r="E718">
        <v>0</v>
      </c>
      <c r="H718">
        <v>0</v>
      </c>
      <c r="I718">
        <v>55.966496</v>
      </c>
      <c r="J718">
        <v>0</v>
      </c>
      <c r="K718" t="s">
        <v>1921</v>
      </c>
      <c r="L718">
        <v>1.398857362191558</v>
      </c>
      <c r="M718">
        <v>7.48</v>
      </c>
      <c r="N718">
        <v>1.51</v>
      </c>
    </row>
    <row r="719" spans="1:14">
      <c r="A719" s="1" t="s">
        <v>731</v>
      </c>
      <c r="B719">
        <f>HYPERLINK("https://www.suredividend.com/sure-analysis-research-database/","G1 Therapeutics Inc")</f>
        <v>0</v>
      </c>
      <c r="C719" t="s">
        <v>1922</v>
      </c>
      <c r="D719">
        <v>12.08</v>
      </c>
      <c r="E719">
        <v>0</v>
      </c>
      <c r="H719">
        <v>0</v>
      </c>
      <c r="I719">
        <v>516.3814159999999</v>
      </c>
      <c r="J719">
        <v>0</v>
      </c>
      <c r="K719" t="s">
        <v>1921</v>
      </c>
      <c r="L719">
        <v>1.483622055968758</v>
      </c>
      <c r="M719">
        <v>17.49</v>
      </c>
      <c r="N719">
        <v>3.84</v>
      </c>
    </row>
    <row r="720" spans="1:14">
      <c r="A720" s="1" t="s">
        <v>732</v>
      </c>
      <c r="B720">
        <f>HYPERLINK("https://www.suredividend.com/sure-analysis-research-database/","Chart Industries Inc")</f>
        <v>0</v>
      </c>
      <c r="C720" t="s">
        <v>1924</v>
      </c>
      <c r="D720">
        <v>197.64</v>
      </c>
      <c r="E720">
        <v>0</v>
      </c>
      <c r="H720">
        <v>0</v>
      </c>
      <c r="I720">
        <v>7238.553932</v>
      </c>
      <c r="J720">
        <v>144.1943014374502</v>
      </c>
      <c r="K720">
        <v>0</v>
      </c>
      <c r="L720">
        <v>1.196597287856411</v>
      </c>
      <c r="M720">
        <v>218.95</v>
      </c>
      <c r="N720">
        <v>108.29</v>
      </c>
    </row>
    <row r="721" spans="1:14">
      <c r="A721" s="1" t="s">
        <v>733</v>
      </c>
      <c r="B721">
        <f>HYPERLINK("https://www.suredividend.com/sure-analysis-research-database/","Gray Television, Inc.")</f>
        <v>0</v>
      </c>
      <c r="C721" t="s">
        <v>1931</v>
      </c>
      <c r="D721">
        <v>14.72</v>
      </c>
      <c r="E721">
        <v>0.021602986453309</v>
      </c>
      <c r="H721">
        <v>0.317995960592712</v>
      </c>
      <c r="I721">
        <v>1363.60996</v>
      </c>
      <c r="J721">
        <v>11.26950379983471</v>
      </c>
      <c r="K721">
        <v>0.2484343442130563</v>
      </c>
      <c r="L721">
        <v>0.8065442128560161</v>
      </c>
      <c r="M721">
        <v>24.84</v>
      </c>
      <c r="N721">
        <v>14.07</v>
      </c>
    </row>
    <row r="722" spans="1:14">
      <c r="A722" s="1" t="s">
        <v>734</v>
      </c>
      <c r="B722">
        <f>HYPERLINK("https://www.suredividend.com/sure-analysis-research-database/","Getty Realty Corp.")</f>
        <v>0</v>
      </c>
      <c r="C722" t="s">
        <v>1929</v>
      </c>
      <c r="D722">
        <v>26.44</v>
      </c>
      <c r="E722">
        <v>0.06067606075048301</v>
      </c>
      <c r="F722">
        <v>0.05128205128205132</v>
      </c>
      <c r="G722">
        <v>0.05081623913789235</v>
      </c>
      <c r="H722">
        <v>1.604275046242795</v>
      </c>
      <c r="I722">
        <v>1235.634771</v>
      </c>
      <c r="J722">
        <v>15.52012524222822</v>
      </c>
      <c r="K722">
        <v>0.9273266163253151</v>
      </c>
      <c r="L722">
        <v>0.570361096848501</v>
      </c>
      <c r="M722">
        <v>31.48</v>
      </c>
      <c r="N722">
        <v>23.93</v>
      </c>
    </row>
    <row r="723" spans="1:14">
      <c r="A723" s="1" t="s">
        <v>735</v>
      </c>
      <c r="B723">
        <f>HYPERLINK("https://www.suredividend.com/sure-analysis-research-database/","GTY Technology Holdings Inc")</f>
        <v>0</v>
      </c>
      <c r="C723" t="s">
        <v>1920</v>
      </c>
      <c r="D723">
        <v>6.3</v>
      </c>
      <c r="E723">
        <v>0</v>
      </c>
      <c r="H723">
        <v>0</v>
      </c>
      <c r="I723">
        <v>0</v>
      </c>
      <c r="J723">
        <v>0</v>
      </c>
      <c r="K723" t="s">
        <v>1921</v>
      </c>
    </row>
    <row r="724" spans="1:14">
      <c r="A724" s="1" t="s">
        <v>736</v>
      </c>
      <c r="B724">
        <f>HYPERLINK("https://www.suredividend.com/sure-analysis-research-database/","Granite Construction Inc.")</f>
        <v>0</v>
      </c>
      <c r="C724" t="s">
        <v>1924</v>
      </c>
      <c r="D724">
        <v>26.88</v>
      </c>
      <c r="E724">
        <v>0.019212159363884</v>
      </c>
      <c r="F724">
        <v>0</v>
      </c>
      <c r="G724">
        <v>0</v>
      </c>
      <c r="H724">
        <v>0.5164228437012081</v>
      </c>
      <c r="I724">
        <v>1185.00058</v>
      </c>
      <c r="J724">
        <v>45.50343982182628</v>
      </c>
      <c r="K724">
        <v>0.891922009846646</v>
      </c>
      <c r="L724">
        <v>0.74662599829848</v>
      </c>
      <c r="M724">
        <v>43.25</v>
      </c>
      <c r="N724">
        <v>25.35</v>
      </c>
    </row>
    <row r="725" spans="1:14">
      <c r="A725" s="1" t="s">
        <v>737</v>
      </c>
      <c r="B725">
        <f>HYPERLINK("https://www.suredividend.com/sure-analysis-GWRS/","Global Water Resources Inc")</f>
        <v>0</v>
      </c>
      <c r="C725" t="s">
        <v>1930</v>
      </c>
      <c r="D725">
        <v>11.04</v>
      </c>
      <c r="E725">
        <v>0.02717391304347826</v>
      </c>
      <c r="F725">
        <v>0</v>
      </c>
      <c r="G725">
        <v>0.001964330089251121</v>
      </c>
      <c r="H725">
        <v>0.291727841927189</v>
      </c>
      <c r="I725">
        <v>263.487363</v>
      </c>
      <c r="J725">
        <v>0</v>
      </c>
      <c r="K725" t="s">
        <v>1921</v>
      </c>
      <c r="L725">
        <v>0.527464609094486</v>
      </c>
      <c r="M725">
        <v>18.92</v>
      </c>
      <c r="N725">
        <v>10.93</v>
      </c>
    </row>
    <row r="726" spans="1:14">
      <c r="A726" s="1" t="s">
        <v>738</v>
      </c>
      <c r="B726">
        <f>HYPERLINK("https://www.suredividend.com/sure-analysis-research-database/","Hawaiian Holdings, Inc.")</f>
        <v>0</v>
      </c>
      <c r="C726" t="s">
        <v>1924</v>
      </c>
      <c r="D726">
        <v>13.29</v>
      </c>
      <c r="E726">
        <v>0</v>
      </c>
      <c r="H726">
        <v>0</v>
      </c>
      <c r="I726">
        <v>682.918638</v>
      </c>
      <c r="J726" t="s">
        <v>1921</v>
      </c>
      <c r="K726">
        <v>-0</v>
      </c>
      <c r="L726">
        <v>1.590867254065512</v>
      </c>
      <c r="M726">
        <v>24.27</v>
      </c>
      <c r="N726">
        <v>12.76</v>
      </c>
    </row>
    <row r="727" spans="1:14">
      <c r="A727" s="1" t="s">
        <v>739</v>
      </c>
      <c r="B727">
        <f>HYPERLINK("https://www.suredividend.com/sure-analysis-research-database/","Haemonetics Corp.")</f>
        <v>0</v>
      </c>
      <c r="C727" t="s">
        <v>1922</v>
      </c>
      <c r="D727">
        <v>75.28</v>
      </c>
      <c r="E727">
        <v>0</v>
      </c>
      <c r="H727">
        <v>0</v>
      </c>
      <c r="I727">
        <v>3863.109357</v>
      </c>
      <c r="J727">
        <v>57.05711985702892</v>
      </c>
      <c r="K727">
        <v>0</v>
      </c>
      <c r="L727">
        <v>0.927616975188096</v>
      </c>
      <c r="M727">
        <v>79.45</v>
      </c>
      <c r="N727">
        <v>43.5</v>
      </c>
    </row>
    <row r="728" spans="1:14">
      <c r="A728" s="1" t="s">
        <v>740</v>
      </c>
      <c r="B728">
        <f>HYPERLINK("https://www.suredividend.com/sure-analysis-research-database/","Hanmi Financial Corp.")</f>
        <v>0</v>
      </c>
      <c r="C728" t="s">
        <v>1923</v>
      </c>
      <c r="D728">
        <v>23.92</v>
      </c>
      <c r="E728">
        <v>0.036716067482568</v>
      </c>
      <c r="F728">
        <v>1.083333333333333</v>
      </c>
      <c r="G728">
        <v>0.03548578845590522</v>
      </c>
      <c r="H728">
        <v>0.878248334183045</v>
      </c>
      <c r="I728">
        <v>728.771166</v>
      </c>
      <c r="J728">
        <v>6.942595252403045</v>
      </c>
      <c r="K728">
        <v>0.2545647345458101</v>
      </c>
      <c r="L728">
        <v>0.807873138305058</v>
      </c>
      <c r="M728">
        <v>28.06</v>
      </c>
      <c r="N728">
        <v>18.79</v>
      </c>
    </row>
    <row r="729" spans="1:14">
      <c r="A729" s="1" t="s">
        <v>741</v>
      </c>
      <c r="B729">
        <f>HYPERLINK("https://www.suredividend.com/sure-analysis-research-database/","Halozyme Therapeutics Inc.")</f>
        <v>0</v>
      </c>
      <c r="C729" t="s">
        <v>1922</v>
      </c>
      <c r="D729">
        <v>41.26</v>
      </c>
      <c r="E729">
        <v>0</v>
      </c>
      <c r="H729">
        <v>0</v>
      </c>
      <c r="I729">
        <v>5684.776806</v>
      </c>
      <c r="J729">
        <v>15.52581402758432</v>
      </c>
      <c r="K729">
        <v>0</v>
      </c>
      <c r="L729">
        <v>0.9330128469254291</v>
      </c>
      <c r="M729">
        <v>52.98</v>
      </c>
      <c r="N729">
        <v>31.36</v>
      </c>
    </row>
    <row r="730" spans="1:14">
      <c r="A730" s="1" t="s">
        <v>742</v>
      </c>
      <c r="B730">
        <f>HYPERLINK("https://www.suredividend.com/sure-analysis-research-database/","Harpoon Therapeutics Inc")</f>
        <v>0</v>
      </c>
      <c r="C730" t="s">
        <v>1922</v>
      </c>
      <c r="D730">
        <v>0.9914000000000001</v>
      </c>
      <c r="E730">
        <v>0</v>
      </c>
      <c r="H730">
        <v>0</v>
      </c>
      <c r="I730">
        <v>32.82205</v>
      </c>
      <c r="J730">
        <v>0</v>
      </c>
      <c r="K730" t="s">
        <v>1921</v>
      </c>
      <c r="L730">
        <v>1.734209359998493</v>
      </c>
      <c r="M730">
        <v>8.199999999999999</v>
      </c>
      <c r="N730">
        <v>0.8250000000000001</v>
      </c>
    </row>
    <row r="731" spans="1:14">
      <c r="A731" s="1" t="s">
        <v>743</v>
      </c>
      <c r="B731">
        <f>HYPERLINK("https://www.suredividend.com/sure-analysis-HASI/","Hannon Armstrong Sustainable Infrastructure capital Inc")</f>
        <v>0</v>
      </c>
      <c r="C731" t="s">
        <v>1929</v>
      </c>
      <c r="D731">
        <v>27.15</v>
      </c>
      <c r="E731">
        <v>0.05524861878453039</v>
      </c>
      <c r="F731">
        <v>0.0714285714285714</v>
      </c>
      <c r="G731">
        <v>0.02589630491023409</v>
      </c>
      <c r="H731">
        <v>1.451421169149402</v>
      </c>
      <c r="I731">
        <v>2359.964934</v>
      </c>
      <c r="J731">
        <v>27.28977236175674</v>
      </c>
      <c r="K731">
        <v>1.502039914259963</v>
      </c>
      <c r="L731">
        <v>1.199936410871537</v>
      </c>
      <c r="M731">
        <v>63.77</v>
      </c>
      <c r="N731">
        <v>27.09</v>
      </c>
    </row>
    <row r="732" spans="1:14">
      <c r="A732" s="1" t="s">
        <v>744</v>
      </c>
      <c r="B732">
        <f>HYPERLINK("https://www.suredividend.com/sure-analysis-research-database/","Haynes International Inc.")</f>
        <v>0</v>
      </c>
      <c r="C732" t="s">
        <v>1924</v>
      </c>
      <c r="D732">
        <v>39.17</v>
      </c>
      <c r="E732">
        <v>0.0223443856895</v>
      </c>
      <c r="F732">
        <v>0</v>
      </c>
      <c r="G732">
        <v>0</v>
      </c>
      <c r="H732">
        <v>0.8752295874577261</v>
      </c>
      <c r="I732">
        <v>488.155263</v>
      </c>
      <c r="J732">
        <v>15.59352382239259</v>
      </c>
      <c r="K732">
        <v>0.3486970467959069</v>
      </c>
      <c r="L732">
        <v>1.128010890181293</v>
      </c>
      <c r="M732">
        <v>49.5</v>
      </c>
      <c r="N732">
        <v>28.85</v>
      </c>
    </row>
    <row r="733" spans="1:14">
      <c r="A733" s="1" t="s">
        <v>745</v>
      </c>
      <c r="B733">
        <f>HYPERLINK("https://www.suredividend.com/sure-analysis-research-database/","Hamilton Beach Brands Holding Co")</f>
        <v>0</v>
      </c>
      <c r="C733" t="s">
        <v>1920</v>
      </c>
      <c r="D733">
        <v>11.1</v>
      </c>
      <c r="E733">
        <v>0.0364754798985</v>
      </c>
      <c r="F733">
        <v>0.04999999999999982</v>
      </c>
      <c r="G733">
        <v>0.04316756381013498</v>
      </c>
      <c r="H733">
        <v>0.40487782687336</v>
      </c>
      <c r="I733">
        <v>110.919814</v>
      </c>
      <c r="J733">
        <v>3.624119898059204</v>
      </c>
      <c r="K733">
        <v>0.1857237737951193</v>
      </c>
      <c r="L733">
        <v>0.7586011923918601</v>
      </c>
      <c r="M733">
        <v>19.73</v>
      </c>
      <c r="N733">
        <v>9.01</v>
      </c>
    </row>
    <row r="734" spans="1:14">
      <c r="A734" s="1" t="s">
        <v>746</v>
      </c>
      <c r="B734">
        <f>HYPERLINK("https://www.suredividend.com/sure-analysis-research-database/","Home Bancorp Inc")</f>
        <v>0</v>
      </c>
      <c r="C734" t="s">
        <v>1923</v>
      </c>
      <c r="D734">
        <v>39.27</v>
      </c>
      <c r="E734">
        <v>0.023216025073412</v>
      </c>
      <c r="F734">
        <v>0</v>
      </c>
      <c r="G734">
        <v>0.1043836287043816</v>
      </c>
      <c r="H734">
        <v>0.9116933046328911</v>
      </c>
      <c r="I734">
        <v>327.788457</v>
      </c>
      <c r="J734">
        <v>8.590069371576824</v>
      </c>
      <c r="K734">
        <v>0.1986259922947475</v>
      </c>
      <c r="L734">
        <v>0.5101784393088851</v>
      </c>
      <c r="M734">
        <v>44.91</v>
      </c>
      <c r="N734">
        <v>32.96</v>
      </c>
    </row>
    <row r="735" spans="1:14">
      <c r="A735" s="1" t="s">
        <v>747</v>
      </c>
      <c r="B735">
        <f>HYPERLINK("https://www.suredividend.com/sure-analysis-research-database/","Harvard Bioscience Inc.")</f>
        <v>0</v>
      </c>
      <c r="C735" t="s">
        <v>1922</v>
      </c>
      <c r="D735">
        <v>2.48</v>
      </c>
      <c r="E735">
        <v>0</v>
      </c>
      <c r="H735">
        <v>0</v>
      </c>
      <c r="I735">
        <v>103.258525</v>
      </c>
      <c r="J735">
        <v>0</v>
      </c>
      <c r="K735" t="s">
        <v>1921</v>
      </c>
      <c r="L735">
        <v>1.004555014478029</v>
      </c>
      <c r="M735">
        <v>8.23</v>
      </c>
      <c r="N735">
        <v>2.27</v>
      </c>
    </row>
    <row r="736" spans="1:14">
      <c r="A736" s="1" t="s">
        <v>748</v>
      </c>
      <c r="B736">
        <f>HYPERLINK("https://www.suredividend.com/sure-analysis-research-database/","Horizon Bancorp Inc (IN)")</f>
        <v>0</v>
      </c>
      <c r="C736" t="s">
        <v>1923</v>
      </c>
      <c r="D736">
        <v>18.52</v>
      </c>
      <c r="E736">
        <v>0.033058672468205</v>
      </c>
      <c r="F736">
        <v>0.06666666666666665</v>
      </c>
      <c r="G736">
        <v>0.0424022162772979</v>
      </c>
      <c r="H736">
        <v>0.612246614111159</v>
      </c>
      <c r="I736">
        <v>806.968182</v>
      </c>
      <c r="J736">
        <v>8.684734732990378</v>
      </c>
      <c r="K736">
        <v>0.2887955726939429</v>
      </c>
      <c r="L736">
        <v>0.667774203978534</v>
      </c>
      <c r="M736">
        <v>23.2</v>
      </c>
      <c r="N736">
        <v>16.27</v>
      </c>
    </row>
    <row r="737" spans="1:14">
      <c r="A737" s="1" t="s">
        <v>749</v>
      </c>
      <c r="B737">
        <f>HYPERLINK("https://www.suredividend.com/sure-analysis-research-database/","HBT Financial Inc")</f>
        <v>0</v>
      </c>
      <c r="C737" t="s">
        <v>1923</v>
      </c>
      <c r="D737">
        <v>18.08</v>
      </c>
      <c r="E737">
        <v>0.034391611052769</v>
      </c>
      <c r="H737">
        <v>0.621800327834081</v>
      </c>
      <c r="I737">
        <v>520.827432</v>
      </c>
      <c r="J737">
        <v>0</v>
      </c>
      <c r="K737" t="s">
        <v>1921</v>
      </c>
      <c r="L737">
        <v>0.544607266104283</v>
      </c>
      <c r="M737">
        <v>19.6</v>
      </c>
      <c r="N737">
        <v>15.84</v>
      </c>
    </row>
    <row r="738" spans="1:14">
      <c r="A738" s="1" t="s">
        <v>750</v>
      </c>
      <c r="B738">
        <f>HYPERLINK("https://www.suredividend.com/sure-analysis-research-database/","Health Catalyst Inc")</f>
        <v>0</v>
      </c>
      <c r="C738" t="s">
        <v>1922</v>
      </c>
      <c r="D738">
        <v>9.380000000000001</v>
      </c>
      <c r="E738">
        <v>0</v>
      </c>
      <c r="H738">
        <v>0</v>
      </c>
      <c r="I738">
        <v>513.305267</v>
      </c>
      <c r="J738">
        <v>0</v>
      </c>
      <c r="K738" t="s">
        <v>1921</v>
      </c>
      <c r="L738">
        <v>1.810832944734235</v>
      </c>
      <c r="M738">
        <v>54.27</v>
      </c>
      <c r="N738">
        <v>9.02</v>
      </c>
    </row>
    <row r="739" spans="1:14">
      <c r="A739" s="1" t="s">
        <v>751</v>
      </c>
      <c r="B739">
        <f>HYPERLINK("https://www.suredividend.com/sure-analysis-research-database/","Warrior Met Coal Inc")</f>
        <v>0</v>
      </c>
      <c r="C739" t="s">
        <v>1925</v>
      </c>
      <c r="D739">
        <v>33.06</v>
      </c>
      <c r="E739">
        <v>0.006703486396137001</v>
      </c>
      <c r="F739">
        <v>12.33333333333333</v>
      </c>
      <c r="G739">
        <v>0.7411011265922482</v>
      </c>
      <c r="H739">
        <v>0.221617260256313</v>
      </c>
      <c r="I739">
        <v>1707.666958</v>
      </c>
      <c r="J739">
        <v>2.753599821464852</v>
      </c>
      <c r="K739">
        <v>0.01843737606125732</v>
      </c>
      <c r="L739">
        <v>0.615165337485581</v>
      </c>
      <c r="M739">
        <v>41.17</v>
      </c>
      <c r="N739">
        <v>19.38</v>
      </c>
    </row>
    <row r="740" spans="1:14">
      <c r="A740" s="1" t="s">
        <v>752</v>
      </c>
      <c r="B740">
        <f>HYPERLINK("https://www.suredividend.com/sure-analysis-research-database/","Heritage-Crystal Clean Inc")</f>
        <v>0</v>
      </c>
      <c r="C740" t="s">
        <v>1924</v>
      </c>
      <c r="D740">
        <v>29.14</v>
      </c>
      <c r="E740">
        <v>0</v>
      </c>
      <c r="H740">
        <v>0</v>
      </c>
      <c r="I740">
        <v>704.333586</v>
      </c>
      <c r="J740">
        <v>0</v>
      </c>
      <c r="K740" t="s">
        <v>1921</v>
      </c>
      <c r="L740">
        <v>0.890079188417052</v>
      </c>
      <c r="M740">
        <v>36.29</v>
      </c>
      <c r="N740">
        <v>24</v>
      </c>
    </row>
    <row r="741" spans="1:14">
      <c r="A741" s="1" t="s">
        <v>753</v>
      </c>
      <c r="B741">
        <f>HYPERLINK("https://www.suredividend.com/sure-analysis-research-database/","HCI Group Inc")</f>
        <v>0</v>
      </c>
      <c r="C741" t="s">
        <v>1923</v>
      </c>
      <c r="D741">
        <v>36.91</v>
      </c>
      <c r="E741">
        <v>0.04293106295526</v>
      </c>
      <c r="F741">
        <v>0</v>
      </c>
      <c r="G741">
        <v>0.02706608708935176</v>
      </c>
      <c r="H741">
        <v>1.584585533678673</v>
      </c>
      <c r="I741">
        <v>333.83375</v>
      </c>
      <c r="J741" t="s">
        <v>1921</v>
      </c>
      <c r="K741" t="s">
        <v>1921</v>
      </c>
      <c r="L741">
        <v>0.6513612742615841</v>
      </c>
      <c r="M741">
        <v>136.74</v>
      </c>
      <c r="N741">
        <v>32.38</v>
      </c>
    </row>
    <row r="742" spans="1:14">
      <c r="A742" s="1" t="s">
        <v>754</v>
      </c>
      <c r="B742">
        <f>HYPERLINK("https://www.suredividend.com/sure-analysis-research-database/","Hackett Group Inc (The)")</f>
        <v>0</v>
      </c>
      <c r="C742" t="s">
        <v>1920</v>
      </c>
      <c r="D742">
        <v>19.11</v>
      </c>
      <c r="E742">
        <v>0.022309467480838</v>
      </c>
      <c r="H742">
        <v>0.426333923558828</v>
      </c>
      <c r="I742">
        <v>605.461595</v>
      </c>
      <c r="J742">
        <v>13.34438849775192</v>
      </c>
      <c r="K742">
        <v>0.3045242311134486</v>
      </c>
      <c r="L742">
        <v>0.6997323174109391</v>
      </c>
      <c r="M742">
        <v>24.48</v>
      </c>
      <c r="N742">
        <v>16.64</v>
      </c>
    </row>
    <row r="743" spans="1:14">
      <c r="A743" s="1" t="s">
        <v>755</v>
      </c>
      <c r="B743">
        <f>HYPERLINK("https://www.suredividend.com/sure-analysis-HCSG/","Healthcare Services Group, Inc.")</f>
        <v>0</v>
      </c>
      <c r="C743" t="s">
        <v>1922</v>
      </c>
      <c r="D743">
        <v>12.47</v>
      </c>
      <c r="E743">
        <v>0.06896551724137931</v>
      </c>
      <c r="F743">
        <v>0.0239520958083832</v>
      </c>
      <c r="G743">
        <v>0.02383625553960966</v>
      </c>
      <c r="H743">
        <v>0.8305582858036381</v>
      </c>
      <c r="I743">
        <v>923.45338</v>
      </c>
      <c r="J743">
        <v>30.99460898167417</v>
      </c>
      <c r="K743">
        <v>2.077434431724957</v>
      </c>
      <c r="L743">
        <v>0.6934783836458951</v>
      </c>
      <c r="M743">
        <v>23.05</v>
      </c>
      <c r="N743">
        <v>11.97</v>
      </c>
    </row>
    <row r="744" spans="1:14">
      <c r="A744" s="1" t="s">
        <v>756</v>
      </c>
      <c r="B744">
        <f>HYPERLINK("https://www.suredividend.com/sure-analysis-research-database/","Turtle Beach Corp")</f>
        <v>0</v>
      </c>
      <c r="C744" t="s">
        <v>1920</v>
      </c>
      <c r="D744">
        <v>6.97</v>
      </c>
      <c r="E744">
        <v>0</v>
      </c>
      <c r="H744">
        <v>0</v>
      </c>
      <c r="I744">
        <v>115.188959</v>
      </c>
      <c r="J744" t="s">
        <v>1921</v>
      </c>
      <c r="K744">
        <v>-0</v>
      </c>
      <c r="L744">
        <v>1.525992801270001</v>
      </c>
      <c r="M744">
        <v>32.15</v>
      </c>
      <c r="N744">
        <v>6.57</v>
      </c>
    </row>
    <row r="745" spans="1:14">
      <c r="A745" s="1" t="s">
        <v>757</v>
      </c>
      <c r="B745">
        <f>HYPERLINK("https://www.suredividend.com/sure-analysis-research-database/","H&amp;E Equipment Services Inc")</f>
        <v>0</v>
      </c>
      <c r="C745" t="s">
        <v>1924</v>
      </c>
      <c r="D745">
        <v>29.2</v>
      </c>
      <c r="E745">
        <v>0.037231223997341</v>
      </c>
      <c r="F745">
        <v>0</v>
      </c>
      <c r="G745">
        <v>0</v>
      </c>
      <c r="H745">
        <v>1.087151740722378</v>
      </c>
      <c r="I745">
        <v>1055.86435</v>
      </c>
      <c r="J745">
        <v>8.429045220931624</v>
      </c>
      <c r="K745">
        <v>0.3169538602689149</v>
      </c>
      <c r="L745">
        <v>1.376027322808028</v>
      </c>
      <c r="M745">
        <v>49.24</v>
      </c>
      <c r="N745">
        <v>25.91</v>
      </c>
    </row>
    <row r="746" spans="1:14">
      <c r="A746" s="1" t="s">
        <v>758</v>
      </c>
      <c r="B746">
        <f>HYPERLINK("https://www.suredividend.com/sure-analysis-research-database/","Helen of Troy Ltd")</f>
        <v>0</v>
      </c>
      <c r="C746" t="s">
        <v>1928</v>
      </c>
      <c r="D746">
        <v>100.65</v>
      </c>
      <c r="E746">
        <v>0</v>
      </c>
      <c r="H746">
        <v>0</v>
      </c>
      <c r="I746">
        <v>2414.600948</v>
      </c>
      <c r="J746">
        <v>14.14164449761046</v>
      </c>
      <c r="K746">
        <v>0</v>
      </c>
      <c r="L746">
        <v>0.8095609188613231</v>
      </c>
      <c r="M746">
        <v>256.26</v>
      </c>
      <c r="N746">
        <v>85.31999999999999</v>
      </c>
    </row>
    <row r="747" spans="1:14">
      <c r="A747" s="1" t="s">
        <v>759</v>
      </c>
      <c r="B747">
        <f>HYPERLINK("https://www.suredividend.com/sure-analysis-research-database/","HF Foods Group Inc.")</f>
        <v>0</v>
      </c>
      <c r="C747" t="s">
        <v>1928</v>
      </c>
      <c r="D747">
        <v>3.61</v>
      </c>
      <c r="E747">
        <v>0</v>
      </c>
      <c r="H747">
        <v>0</v>
      </c>
      <c r="I747">
        <v>187.407414</v>
      </c>
      <c r="J747">
        <v>0</v>
      </c>
      <c r="K747" t="s">
        <v>1921</v>
      </c>
      <c r="L747">
        <v>0.9814518800474471</v>
      </c>
      <c r="M747">
        <v>9.68</v>
      </c>
      <c r="N747">
        <v>3.61</v>
      </c>
    </row>
    <row r="748" spans="1:14">
      <c r="A748" s="1" t="s">
        <v>760</v>
      </c>
      <c r="B748">
        <f>HYPERLINK("https://www.suredividend.com/sure-analysis-research-database/","Heritage Financial Corp.")</f>
        <v>0</v>
      </c>
      <c r="C748" t="s">
        <v>1923</v>
      </c>
      <c r="D748">
        <v>28.54</v>
      </c>
      <c r="E748">
        <v>0.029073111706176</v>
      </c>
      <c r="F748">
        <v>0.04999999999999982</v>
      </c>
      <c r="G748">
        <v>0.06961037572506878</v>
      </c>
      <c r="H748">
        <v>0.829746608094282</v>
      </c>
      <c r="I748">
        <v>1001.866134</v>
      </c>
      <c r="J748">
        <v>12.79032469883825</v>
      </c>
      <c r="K748">
        <v>0.3771575491337645</v>
      </c>
      <c r="L748">
        <v>0.463402475900015</v>
      </c>
      <c r="M748">
        <v>28.64</v>
      </c>
      <c r="N748">
        <v>20.44</v>
      </c>
    </row>
    <row r="749" spans="1:14">
      <c r="A749" s="1" t="s">
        <v>761</v>
      </c>
      <c r="B749">
        <f>HYPERLINK("https://www.suredividend.com/sure-analysis-research-database/","Humanigen Inc")</f>
        <v>0</v>
      </c>
      <c r="C749" t="s">
        <v>1922</v>
      </c>
      <c r="D749">
        <v>0.1714</v>
      </c>
      <c r="E749">
        <v>0</v>
      </c>
      <c r="H749">
        <v>0</v>
      </c>
      <c r="I749">
        <v>17.767485</v>
      </c>
      <c r="J749">
        <v>0</v>
      </c>
      <c r="K749" t="s">
        <v>1921</v>
      </c>
      <c r="L749">
        <v>1.616247295742014</v>
      </c>
      <c r="M749">
        <v>8.380000000000001</v>
      </c>
      <c r="N749">
        <v>0.1451</v>
      </c>
    </row>
    <row r="750" spans="1:14">
      <c r="A750" s="1" t="s">
        <v>762</v>
      </c>
      <c r="B750">
        <f>HYPERLINK("https://www.suredividend.com/sure-analysis-research-database/","Hilton Grand Vacations Inc")</f>
        <v>0</v>
      </c>
      <c r="C750" t="s">
        <v>1927</v>
      </c>
      <c r="D750">
        <v>35.16</v>
      </c>
      <c r="E750">
        <v>0</v>
      </c>
      <c r="H750">
        <v>0</v>
      </c>
      <c r="I750">
        <v>4138.085423</v>
      </c>
      <c r="J750">
        <v>13.88619269436242</v>
      </c>
      <c r="K750">
        <v>0</v>
      </c>
      <c r="L750">
        <v>1.384421111058826</v>
      </c>
      <c r="M750">
        <v>56.33</v>
      </c>
      <c r="N750">
        <v>32.12</v>
      </c>
    </row>
    <row r="751" spans="1:14">
      <c r="A751" s="1" t="s">
        <v>763</v>
      </c>
      <c r="B751">
        <f>HYPERLINK("https://www.suredividend.com/sure-analysis-HI/","Hillenbrand Inc")</f>
        <v>0</v>
      </c>
      <c r="C751" t="s">
        <v>1924</v>
      </c>
      <c r="D751">
        <v>38.54</v>
      </c>
      <c r="E751">
        <v>0.02257394914374676</v>
      </c>
      <c r="F751">
        <v>0.01162790697674421</v>
      </c>
      <c r="G751">
        <v>0.009457948539016492</v>
      </c>
      <c r="H751">
        <v>0.8630529799645331</v>
      </c>
      <c r="I751">
        <v>2676.889853</v>
      </c>
      <c r="J751">
        <v>12.92559079295026</v>
      </c>
      <c r="K751">
        <v>0.3049657173019552</v>
      </c>
      <c r="L751">
        <v>0.9867190619836641</v>
      </c>
      <c r="M751">
        <v>53.3</v>
      </c>
      <c r="N751">
        <v>36.01</v>
      </c>
    </row>
    <row r="752" spans="1:14">
      <c r="A752" s="1" t="s">
        <v>764</v>
      </c>
      <c r="B752">
        <f>HYPERLINK("https://www.suredividend.com/sure-analysis-research-database/","Hibbett Inc")</f>
        <v>0</v>
      </c>
      <c r="C752" t="s">
        <v>1927</v>
      </c>
      <c r="D752">
        <v>55.89</v>
      </c>
      <c r="E752">
        <v>0.017767276314631</v>
      </c>
      <c r="H752">
        <v>0.9930130732247481</v>
      </c>
      <c r="I752">
        <v>715.758974</v>
      </c>
      <c r="J752">
        <v>6.694904862362153</v>
      </c>
      <c r="K752">
        <v>0.1298056304868952</v>
      </c>
      <c r="L752">
        <v>1.479614509618152</v>
      </c>
      <c r="M752">
        <v>99.84999999999999</v>
      </c>
      <c r="N752">
        <v>39.21</v>
      </c>
    </row>
    <row r="753" spans="1:14">
      <c r="A753" s="1" t="s">
        <v>765</v>
      </c>
      <c r="B753">
        <f>HYPERLINK("https://www.suredividend.com/sure-analysis-research-database/","Hingham Institution For Savings")</f>
        <v>0</v>
      </c>
      <c r="C753" t="s">
        <v>1923</v>
      </c>
      <c r="D753">
        <v>250</v>
      </c>
      <c r="E753">
        <v>0.008936268717452001</v>
      </c>
      <c r="F753">
        <v>0.1132075471698113</v>
      </c>
      <c r="G753">
        <v>0.1038495938178707</v>
      </c>
      <c r="H753">
        <v>2.234067179363022</v>
      </c>
      <c r="I753">
        <v>526.5</v>
      </c>
      <c r="J753">
        <v>0</v>
      </c>
      <c r="K753" t="s">
        <v>1921</v>
      </c>
      <c r="L753">
        <v>0.6506860484922591</v>
      </c>
      <c r="M753">
        <v>430.56</v>
      </c>
      <c r="N753">
        <v>248.85</v>
      </c>
    </row>
    <row r="754" spans="1:14">
      <c r="A754" s="1" t="s">
        <v>766</v>
      </c>
      <c r="B754">
        <f>HYPERLINK("https://www.suredividend.com/sure-analysis-research-database/","Hecla Mining Co.")</f>
        <v>0</v>
      </c>
      <c r="C754" t="s">
        <v>1925</v>
      </c>
      <c r="D754">
        <v>4.28</v>
      </c>
      <c r="E754">
        <v>0.005829517292485001</v>
      </c>
      <c r="F754">
        <v>-0.4444444444444445</v>
      </c>
      <c r="G754">
        <v>0.2011244339814313</v>
      </c>
      <c r="H754">
        <v>0.024950334011836</v>
      </c>
      <c r="I754">
        <v>2548.118745</v>
      </c>
      <c r="J754">
        <v>470.3929749233893</v>
      </c>
      <c r="K754">
        <v>2.4950334011836</v>
      </c>
      <c r="L754">
        <v>1.027821584886594</v>
      </c>
      <c r="M754">
        <v>7.64</v>
      </c>
      <c r="N754">
        <v>3.41</v>
      </c>
    </row>
    <row r="755" spans="1:14">
      <c r="A755" s="1" t="s">
        <v>767</v>
      </c>
      <c r="B755">
        <f>HYPERLINK("https://www.suredividend.com/sure-analysis-HLI/","Houlihan Lokey Inc")</f>
        <v>0</v>
      </c>
      <c r="C755" t="s">
        <v>1923</v>
      </c>
      <c r="D755">
        <v>77.98999999999999</v>
      </c>
      <c r="E755">
        <v>0.02718297217591999</v>
      </c>
      <c r="F755">
        <v>0.2325581395348839</v>
      </c>
      <c r="G755">
        <v>0.2152039563333235</v>
      </c>
      <c r="H755">
        <v>1.903572877522388</v>
      </c>
      <c r="I755">
        <v>3873.287873</v>
      </c>
      <c r="J755">
        <v>9.165961556843431</v>
      </c>
      <c r="K755">
        <v>0.3075238897451354</v>
      </c>
      <c r="L755">
        <v>0.955378687941797</v>
      </c>
      <c r="M755">
        <v>120.54</v>
      </c>
      <c r="N755">
        <v>73.73</v>
      </c>
    </row>
    <row r="756" spans="1:14">
      <c r="A756" s="1" t="s">
        <v>768</v>
      </c>
      <c r="B756">
        <f>HYPERLINK("https://www.suredividend.com/sure-analysis-research-database/","Helios Technologies Inc")</f>
        <v>0</v>
      </c>
      <c r="C756" t="s">
        <v>1924</v>
      </c>
      <c r="D756">
        <v>50.94</v>
      </c>
      <c r="E756">
        <v>0.007051110540765001</v>
      </c>
      <c r="F756">
        <v>0</v>
      </c>
      <c r="G756">
        <v>0</v>
      </c>
      <c r="H756">
        <v>0.3591835709465701</v>
      </c>
      <c r="I756">
        <v>1657.777199</v>
      </c>
      <c r="J756">
        <v>14.82421553157052</v>
      </c>
      <c r="K756">
        <v>0.1047182422584752</v>
      </c>
      <c r="L756">
        <v>1.115840949547021</v>
      </c>
      <c r="M756">
        <v>114.3</v>
      </c>
      <c r="N756">
        <v>48.19</v>
      </c>
    </row>
    <row r="757" spans="1:14">
      <c r="A757" s="1" t="s">
        <v>769</v>
      </c>
      <c r="B757">
        <f>HYPERLINK("https://www.suredividend.com/sure-analysis-research-database/","Harmonic, Inc.")</f>
        <v>0</v>
      </c>
      <c r="C757" t="s">
        <v>1920</v>
      </c>
      <c r="D757">
        <v>13.49</v>
      </c>
      <c r="E757">
        <v>0</v>
      </c>
      <c r="H757">
        <v>0</v>
      </c>
      <c r="I757">
        <v>1409.561534</v>
      </c>
      <c r="J757">
        <v>40.62371127586604</v>
      </c>
      <c r="K757">
        <v>0</v>
      </c>
      <c r="L757">
        <v>1.07372626717342</v>
      </c>
      <c r="M757">
        <v>13.8</v>
      </c>
      <c r="N757">
        <v>8.25</v>
      </c>
    </row>
    <row r="758" spans="1:14">
      <c r="A758" s="1" t="s">
        <v>770</v>
      </c>
      <c r="B758">
        <f>HYPERLINK("https://www.suredividend.com/sure-analysis-research-database/","Hamilton Lane Inc")</f>
        <v>0</v>
      </c>
      <c r="C758" t="s">
        <v>1923</v>
      </c>
      <c r="D758">
        <v>59.86</v>
      </c>
      <c r="E758">
        <v>0.024855164113287</v>
      </c>
      <c r="F758">
        <v>0.1428571428571428</v>
      </c>
      <c r="G758">
        <v>0.1797891247127799</v>
      </c>
      <c r="H758">
        <v>1.487830123821387</v>
      </c>
      <c r="I758">
        <v>2232.506954</v>
      </c>
      <c r="J758">
        <v>14.62663351909482</v>
      </c>
      <c r="K758">
        <v>0.5657148759777137</v>
      </c>
      <c r="L758">
        <v>1.311041832871798</v>
      </c>
      <c r="M758">
        <v>113.71</v>
      </c>
      <c r="N758">
        <v>59.52</v>
      </c>
    </row>
    <row r="759" spans="1:14">
      <c r="A759" s="1" t="s">
        <v>771</v>
      </c>
      <c r="B759">
        <f>HYPERLINK("https://www.suredividend.com/sure-analysis-research-database/","Cue Health Inc")</f>
        <v>0</v>
      </c>
      <c r="C759" t="s">
        <v>1921</v>
      </c>
      <c r="D759">
        <v>3.4</v>
      </c>
      <c r="E759">
        <v>0</v>
      </c>
      <c r="H759">
        <v>0</v>
      </c>
      <c r="I759">
        <v>503.720513</v>
      </c>
      <c r="J759">
        <v>0</v>
      </c>
      <c r="K759" t="s">
        <v>1921</v>
      </c>
      <c r="L759">
        <v>1.312553999212362</v>
      </c>
      <c r="M759">
        <v>16.2</v>
      </c>
      <c r="N759">
        <v>2.75</v>
      </c>
    </row>
    <row r="760" spans="1:14">
      <c r="A760" s="1" t="s">
        <v>772</v>
      </c>
      <c r="B760">
        <f>HYPERLINK("https://www.suredividend.com/sure-analysis-research-database/","Helix Energy Solutions Group Inc")</f>
        <v>0</v>
      </c>
      <c r="C760" t="s">
        <v>1926</v>
      </c>
      <c r="D760">
        <v>4.35</v>
      </c>
      <c r="E760">
        <v>0</v>
      </c>
      <c r="H760">
        <v>0</v>
      </c>
      <c r="I760">
        <v>660.021489</v>
      </c>
      <c r="J760" t="s">
        <v>1921</v>
      </c>
      <c r="K760">
        <v>-0</v>
      </c>
      <c r="L760">
        <v>0.942318446742451</v>
      </c>
      <c r="M760">
        <v>5.78</v>
      </c>
      <c r="N760">
        <v>2.47</v>
      </c>
    </row>
    <row r="761" spans="1:14">
      <c r="A761" s="1" t="s">
        <v>773</v>
      </c>
      <c r="B761">
        <f>HYPERLINK("https://www.suredividend.com/sure-analysis-research-database/","Horace Mann Educators Corp.")</f>
        <v>0</v>
      </c>
      <c r="C761" t="s">
        <v>1923</v>
      </c>
      <c r="D761">
        <v>36.9</v>
      </c>
      <c r="E761">
        <v>0.03397644663440001</v>
      </c>
      <c r="F761">
        <v>0.032258064516129</v>
      </c>
      <c r="G761">
        <v>0.03077400337593272</v>
      </c>
      <c r="H761">
        <v>1.253730880809362</v>
      </c>
      <c r="I761">
        <v>1509.116311</v>
      </c>
      <c r="J761">
        <v>25.66524338265306</v>
      </c>
      <c r="K761">
        <v>0.8955220577209728</v>
      </c>
      <c r="L761">
        <v>0.431111324945578</v>
      </c>
      <c r="M761">
        <v>41.87</v>
      </c>
      <c r="N761">
        <v>32.31</v>
      </c>
    </row>
    <row r="762" spans="1:14">
      <c r="A762" s="1" t="s">
        <v>774</v>
      </c>
      <c r="B762">
        <f>HYPERLINK("https://www.suredividend.com/sure-analysis-research-database/","Home Point Capital Inc")</f>
        <v>0</v>
      </c>
      <c r="C762" t="s">
        <v>1921</v>
      </c>
      <c r="D762">
        <v>1.77</v>
      </c>
      <c r="E762">
        <v>0.067023289118114</v>
      </c>
      <c r="H762">
        <v>0.118631221739063</v>
      </c>
      <c r="I762">
        <v>244.93571</v>
      </c>
      <c r="J762">
        <v>0</v>
      </c>
      <c r="K762" t="s">
        <v>1921</v>
      </c>
      <c r="L762">
        <v>0.8139569560697031</v>
      </c>
      <c r="M762">
        <v>5.67</v>
      </c>
      <c r="N762">
        <v>1.36</v>
      </c>
    </row>
    <row r="763" spans="1:14">
      <c r="A763" s="1" t="s">
        <v>775</v>
      </c>
      <c r="B763">
        <f>HYPERLINK("https://www.suredividend.com/sure-analysis-research-database/","HomeStreet Inc")</f>
        <v>0</v>
      </c>
      <c r="C763" t="s">
        <v>1923</v>
      </c>
      <c r="D763">
        <v>28.63</v>
      </c>
      <c r="E763">
        <v>0.044837172827845</v>
      </c>
      <c r="H763">
        <v>1.283688258061213</v>
      </c>
      <c r="I763">
        <v>535.483667</v>
      </c>
      <c r="J763">
        <v>5.680077934319112</v>
      </c>
      <c r="K763">
        <v>0.2719678512841553</v>
      </c>
      <c r="L763">
        <v>0.741748008329261</v>
      </c>
      <c r="M763">
        <v>55.94</v>
      </c>
      <c r="N763">
        <v>28.45</v>
      </c>
    </row>
    <row r="764" spans="1:14">
      <c r="A764" s="1" t="s">
        <v>776</v>
      </c>
      <c r="B764">
        <f>HYPERLINK("https://www.suredividend.com/sure-analysis-research-database/","Hemisphere Media Group Inc")</f>
        <v>0</v>
      </c>
      <c r="C764" t="s">
        <v>1931</v>
      </c>
      <c r="D764">
        <v>7.15</v>
      </c>
      <c r="E764">
        <v>0</v>
      </c>
      <c r="H764">
        <v>0</v>
      </c>
      <c r="I764">
        <v>0</v>
      </c>
      <c r="J764">
        <v>0</v>
      </c>
      <c r="K764" t="s">
        <v>1921</v>
      </c>
    </row>
    <row r="765" spans="1:14">
      <c r="A765" s="1" t="s">
        <v>777</v>
      </c>
      <c r="B765">
        <f>HYPERLINK("https://www.suredividend.com/sure-analysis-research-database/","Hanger Inc")</f>
        <v>0</v>
      </c>
      <c r="C765" t="s">
        <v>1922</v>
      </c>
      <c r="D765">
        <v>18.72</v>
      </c>
      <c r="E765">
        <v>0</v>
      </c>
      <c r="H765">
        <v>0</v>
      </c>
      <c r="I765">
        <v>732.3875399999999</v>
      </c>
      <c r="J765">
        <v>19.63874023328775</v>
      </c>
      <c r="K765">
        <v>0</v>
      </c>
      <c r="L765">
        <v>0.596951536256076</v>
      </c>
      <c r="M765">
        <v>22.67</v>
      </c>
      <c r="N765">
        <v>13.42</v>
      </c>
    </row>
    <row r="766" spans="1:14">
      <c r="A766" s="1" t="s">
        <v>778</v>
      </c>
      <c r="B766">
        <f>HYPERLINK("https://www.suredividend.com/sure-analysis-HNI/","HNI Corp.")</f>
        <v>0</v>
      </c>
      <c r="C766" t="s">
        <v>1924</v>
      </c>
      <c r="D766">
        <v>27.74</v>
      </c>
      <c r="E766">
        <v>0.04614275414563807</v>
      </c>
      <c r="F766">
        <v>0.032258064516129</v>
      </c>
      <c r="G766">
        <v>0.0234367875071011</v>
      </c>
      <c r="H766">
        <v>1.243838651711625</v>
      </c>
      <c r="I766">
        <v>1146.571123</v>
      </c>
      <c r="J766">
        <v>15.95584579551622</v>
      </c>
      <c r="K766">
        <v>0.7493003925973645</v>
      </c>
      <c r="L766">
        <v>0.926388456929305</v>
      </c>
      <c r="M766">
        <v>43.39</v>
      </c>
      <c r="N766">
        <v>26.51</v>
      </c>
    </row>
    <row r="767" spans="1:14">
      <c r="A767" s="1" t="s">
        <v>779</v>
      </c>
      <c r="B767">
        <f>HYPERLINK("https://www.suredividend.com/sure-analysis-research-database/","Honest Company Inc (The )")</f>
        <v>0</v>
      </c>
      <c r="C767" t="s">
        <v>1921</v>
      </c>
      <c r="D767">
        <v>3.38</v>
      </c>
      <c r="E767">
        <v>0</v>
      </c>
      <c r="H767">
        <v>0</v>
      </c>
      <c r="I767">
        <v>312.367581</v>
      </c>
      <c r="J767" t="s">
        <v>1921</v>
      </c>
      <c r="K767">
        <v>-0</v>
      </c>
      <c r="L767">
        <v>1.817558393974607</v>
      </c>
      <c r="M767">
        <v>10.41</v>
      </c>
      <c r="N767">
        <v>2.54</v>
      </c>
    </row>
    <row r="768" spans="1:14">
      <c r="A768" s="1" t="s">
        <v>780</v>
      </c>
      <c r="B768">
        <f>HYPERLINK("https://www.suredividend.com/sure-analysis-research-database/","Hooker Furnishings Corporation")</f>
        <v>0</v>
      </c>
      <c r="C768" t="s">
        <v>1927</v>
      </c>
      <c r="D768">
        <v>12.93</v>
      </c>
      <c r="E768">
        <v>0.060705338928143</v>
      </c>
      <c r="F768">
        <v>0.1111111111111112</v>
      </c>
      <c r="G768">
        <v>0.07394092378577932</v>
      </c>
      <c r="H768">
        <v>0.784920032340901</v>
      </c>
      <c r="I768">
        <v>151.139442</v>
      </c>
      <c r="J768">
        <v>44.36144477839741</v>
      </c>
      <c r="K768">
        <v>2.753139362823223</v>
      </c>
      <c r="L768">
        <v>0.6874935126417271</v>
      </c>
      <c r="M768">
        <v>26.02</v>
      </c>
      <c r="N768">
        <v>12.9</v>
      </c>
    </row>
    <row r="769" spans="1:14">
      <c r="A769" s="1" t="s">
        <v>781</v>
      </c>
      <c r="B769">
        <f>HYPERLINK("https://www.suredividend.com/sure-analysis-research-database/","Hall of Fame Resort &amp; Entertainment Company")</f>
        <v>0</v>
      </c>
      <c r="C769" t="s">
        <v>1921</v>
      </c>
      <c r="D769">
        <v>0.5853</v>
      </c>
      <c r="E769">
        <v>0</v>
      </c>
      <c r="H769">
        <v>0</v>
      </c>
      <c r="I769">
        <v>68.84825499999999</v>
      </c>
      <c r="J769">
        <v>0</v>
      </c>
      <c r="K769" t="s">
        <v>1921</v>
      </c>
      <c r="L769">
        <v>1.778836552517073</v>
      </c>
      <c r="M769">
        <v>2.6</v>
      </c>
      <c r="N769">
        <v>0.5221</v>
      </c>
    </row>
    <row r="770" spans="1:14">
      <c r="A770" s="1" t="s">
        <v>782</v>
      </c>
      <c r="B770">
        <f>HYPERLINK("https://www.suredividend.com/sure-analysis-research-database/","Home Bancshares Inc")</f>
        <v>0</v>
      </c>
      <c r="C770" t="s">
        <v>1923</v>
      </c>
      <c r="D770">
        <v>23.5</v>
      </c>
      <c r="E770">
        <v>0.005829340017799001</v>
      </c>
      <c r="F770">
        <v>0.1785714285714286</v>
      </c>
      <c r="G770">
        <v>0.08447177119769855</v>
      </c>
      <c r="H770">
        <v>0.136989490418288</v>
      </c>
      <c r="I770">
        <v>4819.029592</v>
      </c>
      <c r="J770">
        <v>21.02369171621899</v>
      </c>
      <c r="K770">
        <v>0.1045721300902962</v>
      </c>
      <c r="L770">
        <v>0.8544579394126821</v>
      </c>
      <c r="M770">
        <v>25.93</v>
      </c>
      <c r="N770">
        <v>19.54</v>
      </c>
    </row>
    <row r="771" spans="1:14">
      <c r="A771" s="1" t="s">
        <v>783</v>
      </c>
      <c r="B771">
        <f>HYPERLINK("https://www.suredividend.com/sure-analysis-research-database/","HarborOne Bancorp Inc.")</f>
        <v>0</v>
      </c>
      <c r="C771" t="s">
        <v>1923</v>
      </c>
      <c r="D771">
        <v>13.7</v>
      </c>
      <c r="E771">
        <v>0.017318157865397</v>
      </c>
      <c r="H771">
        <v>0.237258762755945</v>
      </c>
      <c r="I771">
        <v>687.357249</v>
      </c>
      <c r="J771">
        <v>14.59264270640936</v>
      </c>
      <c r="K771">
        <v>0.2476605039206106</v>
      </c>
      <c r="L771">
        <v>0.4543124129972591</v>
      </c>
      <c r="M771">
        <v>15.22</v>
      </c>
      <c r="N771">
        <v>13.12</v>
      </c>
    </row>
    <row r="772" spans="1:14">
      <c r="A772" s="1" t="s">
        <v>784</v>
      </c>
      <c r="B772">
        <f>HYPERLINK("https://www.suredividend.com/sure-analysis-research-database/","Hookipa Pharma Inc")</f>
        <v>0</v>
      </c>
      <c r="C772" t="s">
        <v>1922</v>
      </c>
      <c r="D772">
        <v>1.35</v>
      </c>
      <c r="E772">
        <v>0</v>
      </c>
      <c r="H772">
        <v>0</v>
      </c>
      <c r="I772">
        <v>69.733616</v>
      </c>
      <c r="J772">
        <v>0</v>
      </c>
      <c r="K772" t="s">
        <v>1921</v>
      </c>
      <c r="L772">
        <v>1.367562603378467</v>
      </c>
      <c r="M772">
        <v>5.64</v>
      </c>
      <c r="N772">
        <v>1.23</v>
      </c>
    </row>
    <row r="773" spans="1:14">
      <c r="A773" s="1" t="s">
        <v>785</v>
      </c>
      <c r="B773">
        <f>HYPERLINK("https://www.suredividend.com/sure-analysis-research-database/","Hope Bancorp Inc")</f>
        <v>0</v>
      </c>
      <c r="C773" t="s">
        <v>1923</v>
      </c>
      <c r="D773">
        <v>13.03</v>
      </c>
      <c r="E773">
        <v>0.04238808856151401</v>
      </c>
      <c r="H773">
        <v>0.552316793956535</v>
      </c>
      <c r="I773">
        <v>1556.776384</v>
      </c>
      <c r="J773">
        <v>7.077929258051903</v>
      </c>
      <c r="K773">
        <v>0.3051473999759862</v>
      </c>
      <c r="L773">
        <v>0.6588444133807481</v>
      </c>
      <c r="M773">
        <v>17.21</v>
      </c>
      <c r="N773">
        <v>12.48</v>
      </c>
    </row>
    <row r="774" spans="1:14">
      <c r="A774" s="1" t="s">
        <v>786</v>
      </c>
      <c r="B774">
        <f>HYPERLINK("https://www.suredividend.com/sure-analysis-research-database/","Hovnanian Enterprises, Inc.")</f>
        <v>0</v>
      </c>
      <c r="C774" t="s">
        <v>1927</v>
      </c>
      <c r="D774">
        <v>40.76</v>
      </c>
      <c r="E774">
        <v>0</v>
      </c>
      <c r="H774">
        <v>0</v>
      </c>
      <c r="I774">
        <v>231.885841</v>
      </c>
      <c r="J774">
        <v>1.204639318835911</v>
      </c>
      <c r="K774">
        <v>0</v>
      </c>
      <c r="L774">
        <v>1.836448431986091</v>
      </c>
      <c r="M774">
        <v>133.99</v>
      </c>
      <c r="N774">
        <v>35.34</v>
      </c>
    </row>
    <row r="775" spans="1:14">
      <c r="A775" s="1" t="s">
        <v>787</v>
      </c>
      <c r="B775">
        <f>HYPERLINK("https://www.suredividend.com/sure-analysis-research-database/","Werewolf Therapeutics Inc")</f>
        <v>0</v>
      </c>
      <c r="C775" t="s">
        <v>1921</v>
      </c>
      <c r="D775">
        <v>4.07</v>
      </c>
      <c r="E775">
        <v>0</v>
      </c>
      <c r="H775">
        <v>0</v>
      </c>
      <c r="I775">
        <v>120.18476</v>
      </c>
      <c r="J775">
        <v>0</v>
      </c>
      <c r="K775" t="s">
        <v>1921</v>
      </c>
      <c r="L775">
        <v>1.237670022242867</v>
      </c>
      <c r="M775">
        <v>17.95</v>
      </c>
      <c r="N775">
        <v>3.42</v>
      </c>
    </row>
    <row r="776" spans="1:14">
      <c r="A776" s="1" t="s">
        <v>788</v>
      </c>
      <c r="B776">
        <f>HYPERLINK("https://www.suredividend.com/sure-analysis-HP/","Helmerich &amp; Payne, Inc.")</f>
        <v>0</v>
      </c>
      <c r="C776" t="s">
        <v>1926</v>
      </c>
      <c r="D776">
        <v>42.28</v>
      </c>
      <c r="E776">
        <v>0.02365184484389782</v>
      </c>
      <c r="F776">
        <v>0</v>
      </c>
      <c r="G776">
        <v>-0.1861049751822067</v>
      </c>
      <c r="H776">
        <v>0.990852163636128</v>
      </c>
      <c r="I776">
        <v>4451.661919</v>
      </c>
      <c r="J776" t="s">
        <v>1921</v>
      </c>
      <c r="K776" t="s">
        <v>1921</v>
      </c>
      <c r="L776">
        <v>1.098737745063414</v>
      </c>
      <c r="M776">
        <v>54.26</v>
      </c>
      <c r="N776">
        <v>20.53</v>
      </c>
    </row>
    <row r="777" spans="1:14">
      <c r="A777" s="1" t="s">
        <v>789</v>
      </c>
      <c r="B777">
        <f>HYPERLINK("https://www.suredividend.com/sure-analysis-research-database/","HighPeak Energy Inc")</f>
        <v>0</v>
      </c>
      <c r="C777" t="s">
        <v>1921</v>
      </c>
      <c r="D777">
        <v>22.61</v>
      </c>
      <c r="E777">
        <v>0.004416083331725</v>
      </c>
      <c r="H777">
        <v>0.09984764413031301</v>
      </c>
      <c r="I777">
        <v>2558.549115</v>
      </c>
      <c r="J777">
        <v>0</v>
      </c>
      <c r="K777" t="s">
        <v>1921</v>
      </c>
      <c r="L777">
        <v>0.862176903040051</v>
      </c>
      <c r="M777">
        <v>38.14</v>
      </c>
      <c r="N777">
        <v>10.56</v>
      </c>
    </row>
    <row r="778" spans="1:14">
      <c r="A778" s="1" t="s">
        <v>790</v>
      </c>
      <c r="B778">
        <f>HYPERLINK("https://www.suredividend.com/sure-analysis-research-database/","HireQuest Inc")</f>
        <v>0</v>
      </c>
      <c r="C778" t="s">
        <v>1924</v>
      </c>
      <c r="D778">
        <v>12.7</v>
      </c>
      <c r="E778">
        <v>0.018784799732446</v>
      </c>
      <c r="H778">
        <v>0.238566956602067</v>
      </c>
      <c r="I778">
        <v>175.444899</v>
      </c>
      <c r="J778">
        <v>0</v>
      </c>
      <c r="K778" t="s">
        <v>1921</v>
      </c>
      <c r="L778">
        <v>0.712659420517967</v>
      </c>
      <c r="M778">
        <v>25.33</v>
      </c>
      <c r="N778">
        <v>11.75</v>
      </c>
    </row>
    <row r="779" spans="1:14">
      <c r="A779" s="1" t="s">
        <v>791</v>
      </c>
      <c r="B779">
        <f>HYPERLINK("https://www.suredividend.com/sure-analysis-research-database/","Healthequity Inc")</f>
        <v>0</v>
      </c>
      <c r="C779" t="s">
        <v>1922</v>
      </c>
      <c r="D779">
        <v>66.73999999999999</v>
      </c>
      <c r="E779">
        <v>0</v>
      </c>
      <c r="H779">
        <v>0</v>
      </c>
      <c r="I779">
        <v>5641.58072</v>
      </c>
      <c r="J779" t="s">
        <v>1921</v>
      </c>
      <c r="K779">
        <v>-0</v>
      </c>
      <c r="L779">
        <v>0.5614009058215671</v>
      </c>
      <c r="M779">
        <v>74.04000000000001</v>
      </c>
      <c r="N779">
        <v>36.81</v>
      </c>
    </row>
    <row r="780" spans="1:14">
      <c r="A780" s="1" t="s">
        <v>792</v>
      </c>
      <c r="B780">
        <f>HYPERLINK("https://www.suredividend.com/sure-analysis-HR/","Healthcare Realty Trust Inc")</f>
        <v>0</v>
      </c>
      <c r="C780" t="s">
        <v>1929</v>
      </c>
      <c r="D780">
        <v>19.34</v>
      </c>
      <c r="E780">
        <v>0.0641158221302999</v>
      </c>
      <c r="F780">
        <v>-0.6396694214876033</v>
      </c>
      <c r="G780">
        <v>-0.1833028338358744</v>
      </c>
      <c r="H780">
        <v>0.9193510851987001</v>
      </c>
      <c r="I780">
        <v>7359.821605</v>
      </c>
      <c r="J780">
        <v>117.9080680128164</v>
      </c>
      <c r="K780">
        <v>3.074752793306689</v>
      </c>
      <c r="L780">
        <v>0.54667873428998</v>
      </c>
      <c r="M780">
        <v>28.46</v>
      </c>
      <c r="N780">
        <v>19.33</v>
      </c>
    </row>
    <row r="781" spans="1:14">
      <c r="A781" s="1" t="s">
        <v>793</v>
      </c>
      <c r="B781">
        <f>HYPERLINK("https://www.suredividend.com/sure-analysis-research-database/","Herc Holdings Inc")</f>
        <v>0</v>
      </c>
      <c r="C781" t="s">
        <v>1924</v>
      </c>
      <c r="D781">
        <v>112.76</v>
      </c>
      <c r="E781">
        <v>0.01961556808312</v>
      </c>
      <c r="H781">
        <v>2.211851457052672</v>
      </c>
      <c r="I781">
        <v>3373.391531</v>
      </c>
      <c r="J781">
        <v>12.27580615400291</v>
      </c>
      <c r="K781">
        <v>0.2449447903712815</v>
      </c>
      <c r="L781">
        <v>1.582116637007728</v>
      </c>
      <c r="M781">
        <v>201.15</v>
      </c>
      <c r="N781">
        <v>83.05</v>
      </c>
    </row>
    <row r="782" spans="1:14">
      <c r="A782" s="1" t="s">
        <v>794</v>
      </c>
      <c r="B782">
        <f>HYPERLINK("https://www.suredividend.com/sure-analysis-research-database/","Harmony Biosciences Holdings Inc")</f>
        <v>0</v>
      </c>
      <c r="C782" t="s">
        <v>1921</v>
      </c>
      <c r="D782">
        <v>47.3</v>
      </c>
      <c r="E782">
        <v>0</v>
      </c>
      <c r="H782">
        <v>0</v>
      </c>
      <c r="I782">
        <v>2798.334078</v>
      </c>
      <c r="J782">
        <v>0</v>
      </c>
      <c r="K782" t="s">
        <v>1921</v>
      </c>
      <c r="L782">
        <v>0.9705257270088691</v>
      </c>
      <c r="M782">
        <v>57.13</v>
      </c>
      <c r="N782">
        <v>31.54</v>
      </c>
    </row>
    <row r="783" spans="1:14">
      <c r="A783" s="1" t="s">
        <v>795</v>
      </c>
      <c r="B783">
        <f>HYPERLINK("https://www.suredividend.com/sure-analysis-research-database/","HireRight Holdings Corp")</f>
        <v>0</v>
      </c>
      <c r="C783" t="s">
        <v>1921</v>
      </c>
      <c r="D783">
        <v>15.24</v>
      </c>
      <c r="E783">
        <v>0</v>
      </c>
      <c r="H783">
        <v>0</v>
      </c>
      <c r="I783">
        <v>1210.548572</v>
      </c>
      <c r="J783">
        <v>0</v>
      </c>
      <c r="K783" t="s">
        <v>1921</v>
      </c>
      <c r="M783">
        <v>19.46</v>
      </c>
      <c r="N783">
        <v>10.66</v>
      </c>
    </row>
    <row r="784" spans="1:14">
      <c r="A784" s="1" t="s">
        <v>796</v>
      </c>
      <c r="B784">
        <f>HYPERLINK("https://www.suredividend.com/sure-analysis-research-database/","Heritage Insurance Holdings Inc.")</f>
        <v>0</v>
      </c>
      <c r="C784" t="s">
        <v>1923</v>
      </c>
      <c r="D784">
        <v>1.82</v>
      </c>
      <c r="E784">
        <v>0.09750645162767101</v>
      </c>
      <c r="H784">
        <v>0.177461741962362</v>
      </c>
      <c r="I784">
        <v>48.355755</v>
      </c>
      <c r="J784">
        <v>0</v>
      </c>
      <c r="K784" t="s">
        <v>1921</v>
      </c>
      <c r="L784">
        <v>0.8854537340121</v>
      </c>
      <c r="M784">
        <v>7.25</v>
      </c>
      <c r="N784">
        <v>1.81</v>
      </c>
    </row>
    <row r="785" spans="1:14">
      <c r="A785" s="1" t="s">
        <v>797</v>
      </c>
      <c r="B785">
        <f>HYPERLINK("https://www.suredividend.com/sure-analysis-research-database/","Heron Therapeutics Inc")</f>
        <v>0</v>
      </c>
      <c r="C785" t="s">
        <v>1922</v>
      </c>
      <c r="D785">
        <v>3.74</v>
      </c>
      <c r="E785">
        <v>0</v>
      </c>
      <c r="H785">
        <v>0</v>
      </c>
      <c r="I785">
        <v>444.214251</v>
      </c>
      <c r="J785">
        <v>0</v>
      </c>
      <c r="K785" t="s">
        <v>1921</v>
      </c>
      <c r="L785">
        <v>1.941837285510122</v>
      </c>
      <c r="M785">
        <v>12.79</v>
      </c>
      <c r="N785">
        <v>2.19</v>
      </c>
    </row>
    <row r="786" spans="1:14">
      <c r="A786" s="1" t="s">
        <v>798</v>
      </c>
      <c r="B786">
        <f>HYPERLINK("https://www.suredividend.com/sure-analysis-research-database/","Harsco Corp.")</f>
        <v>0</v>
      </c>
      <c r="C786" t="s">
        <v>1924</v>
      </c>
      <c r="D786">
        <v>4.44</v>
      </c>
      <c r="E786">
        <v>0</v>
      </c>
      <c r="H786">
        <v>0</v>
      </c>
      <c r="I786">
        <v>352.676721</v>
      </c>
      <c r="J786" t="s">
        <v>1921</v>
      </c>
      <c r="K786">
        <v>-0</v>
      </c>
      <c r="L786">
        <v>1.048244140548432</v>
      </c>
      <c r="M786">
        <v>18.28</v>
      </c>
      <c r="N786">
        <v>3.73</v>
      </c>
    </row>
    <row r="787" spans="1:14">
      <c r="A787" s="1" t="s">
        <v>799</v>
      </c>
      <c r="B787">
        <f>HYPERLINK("https://www.suredividend.com/sure-analysis-research-database/","Heidrick &amp; Struggles International, Inc.")</f>
        <v>0</v>
      </c>
      <c r="C787" t="s">
        <v>1924</v>
      </c>
      <c r="D787">
        <v>27.64</v>
      </c>
      <c r="E787">
        <v>0.021562986154671</v>
      </c>
      <c r="F787">
        <v>0</v>
      </c>
      <c r="G787">
        <v>0.02903366107118788</v>
      </c>
      <c r="H787">
        <v>0.59600093731513</v>
      </c>
      <c r="I787">
        <v>545.538336</v>
      </c>
      <c r="J787">
        <v>6.854271667399581</v>
      </c>
      <c r="K787">
        <v>0.1528207531577256</v>
      </c>
      <c r="L787">
        <v>0.9220211868332231</v>
      </c>
      <c r="M787">
        <v>49.08</v>
      </c>
      <c r="N787">
        <v>25.15</v>
      </c>
    </row>
    <row r="788" spans="1:14">
      <c r="A788" s="1" t="s">
        <v>800</v>
      </c>
      <c r="B788">
        <f>HYPERLINK("https://www.suredividend.com/sure-analysis-research-database/","Heska Corp.")</f>
        <v>0</v>
      </c>
      <c r="C788" t="s">
        <v>1922</v>
      </c>
      <c r="D788">
        <v>72.33</v>
      </c>
      <c r="E788">
        <v>0</v>
      </c>
      <c r="H788">
        <v>0</v>
      </c>
      <c r="I788">
        <v>782.530675</v>
      </c>
      <c r="J788" t="s">
        <v>1921</v>
      </c>
      <c r="K788">
        <v>-0</v>
      </c>
      <c r="L788">
        <v>1.123471573466735</v>
      </c>
      <c r="M788">
        <v>260.24</v>
      </c>
      <c r="N788">
        <v>71.42</v>
      </c>
    </row>
    <row r="789" spans="1:14">
      <c r="A789" s="1" t="s">
        <v>801</v>
      </c>
      <c r="B789">
        <f>HYPERLINK("https://www.suredividend.com/sure-analysis-research-database/","Healthstream Inc")</f>
        <v>0</v>
      </c>
      <c r="C789" t="s">
        <v>1922</v>
      </c>
      <c r="D789">
        <v>20.99</v>
      </c>
      <c r="E789">
        <v>0</v>
      </c>
      <c r="H789">
        <v>0</v>
      </c>
      <c r="I789">
        <v>641.659892</v>
      </c>
      <c r="J789">
        <v>90.51486699111298</v>
      </c>
      <c r="K789">
        <v>0</v>
      </c>
      <c r="L789">
        <v>0.561298980334337</v>
      </c>
      <c r="M789">
        <v>28.76</v>
      </c>
      <c r="N789">
        <v>18.51</v>
      </c>
    </row>
    <row r="790" spans="1:14">
      <c r="A790" s="1" t="s">
        <v>802</v>
      </c>
      <c r="B790">
        <f>HYPERLINK("https://www.suredividend.com/sure-analysis-research-database/","Hersha Hospitality Trust")</f>
        <v>0</v>
      </c>
      <c r="C790" t="s">
        <v>1929</v>
      </c>
      <c r="D790">
        <v>7.81</v>
      </c>
      <c r="E790">
        <v>0.006402048750967001</v>
      </c>
      <c r="H790">
        <v>0.050000000745058</v>
      </c>
      <c r="I790">
        <v>309.236661</v>
      </c>
      <c r="J790" t="s">
        <v>1921</v>
      </c>
      <c r="K790" t="s">
        <v>1921</v>
      </c>
      <c r="L790">
        <v>1.470855131210064</v>
      </c>
      <c r="M790">
        <v>12.08</v>
      </c>
      <c r="N790">
        <v>7.6</v>
      </c>
    </row>
    <row r="791" spans="1:14">
      <c r="A791" s="1" t="s">
        <v>803</v>
      </c>
      <c r="B791">
        <f>HYPERLINK("https://www.suredividend.com/sure-analysis-research-database/","HomeTrust Bancshares Inc")</f>
        <v>0</v>
      </c>
      <c r="C791" t="s">
        <v>1923</v>
      </c>
      <c r="D791">
        <v>22.02</v>
      </c>
      <c r="E791">
        <v>0.016266301571246</v>
      </c>
      <c r="H791">
        <v>0.358183960598839</v>
      </c>
      <c r="I791">
        <v>344.224303</v>
      </c>
      <c r="J791">
        <v>0</v>
      </c>
      <c r="K791" t="s">
        <v>1921</v>
      </c>
      <c r="L791">
        <v>0.418796180554694</v>
      </c>
      <c r="M791">
        <v>32.28</v>
      </c>
      <c r="N791">
        <v>21.59</v>
      </c>
    </row>
    <row r="792" spans="1:14">
      <c r="A792" s="1" t="s">
        <v>804</v>
      </c>
      <c r="B792">
        <f>HYPERLINK("https://www.suredividend.com/sure-analysis-research-database/","Heritage Commerce Corp.")</f>
        <v>0</v>
      </c>
      <c r="C792" t="s">
        <v>1923</v>
      </c>
      <c r="D792">
        <v>12.2</v>
      </c>
      <c r="E792">
        <v>0.041916226121588</v>
      </c>
      <c r="F792">
        <v>0</v>
      </c>
      <c r="G792">
        <v>0.05387395206178347</v>
      </c>
      <c r="H792">
        <v>0.511377958683374</v>
      </c>
      <c r="I792">
        <v>740.1592869999999</v>
      </c>
      <c r="J792">
        <v>13.36751466136897</v>
      </c>
      <c r="K792">
        <v>0.5622627363203672</v>
      </c>
      <c r="L792">
        <v>0.6110330612035481</v>
      </c>
      <c r="M792">
        <v>12.52</v>
      </c>
      <c r="N792">
        <v>10.28</v>
      </c>
    </row>
    <row r="793" spans="1:14">
      <c r="A793" s="1" t="s">
        <v>805</v>
      </c>
      <c r="B793">
        <f>HYPERLINK("https://www.suredividend.com/sure-analysis-research-database/","Hilltop Holdings Inc")</f>
        <v>0</v>
      </c>
      <c r="C793" t="s">
        <v>1923</v>
      </c>
      <c r="D793">
        <v>25.28</v>
      </c>
      <c r="E793">
        <v>0.022385512864595</v>
      </c>
      <c r="F793">
        <v>0.25</v>
      </c>
      <c r="G793">
        <v>0.2011244339814313</v>
      </c>
      <c r="H793">
        <v>0.565905765216975</v>
      </c>
      <c r="I793">
        <v>1632.489698</v>
      </c>
      <c r="J793">
        <v>7.751613002089269</v>
      </c>
      <c r="K793">
        <v>0.2103738904152324</v>
      </c>
      <c r="L793">
        <v>0.8249664050784211</v>
      </c>
      <c r="M793">
        <v>37.78</v>
      </c>
      <c r="N793">
        <v>24.18</v>
      </c>
    </row>
    <row r="794" spans="1:14">
      <c r="A794" s="1" t="s">
        <v>806</v>
      </c>
      <c r="B794">
        <f>HYPERLINK("https://www.suredividend.com/sure-analysis-research-database/","Heartland Express, Inc.")</f>
        <v>0</v>
      </c>
      <c r="C794" t="s">
        <v>1924</v>
      </c>
      <c r="D794">
        <v>14.59</v>
      </c>
      <c r="E794">
        <v>0.005471526253818</v>
      </c>
      <c r="F794">
        <v>0</v>
      </c>
      <c r="G794">
        <v>0</v>
      </c>
      <c r="H794">
        <v>0.07982956804321401</v>
      </c>
      <c r="I794">
        <v>1151.690553</v>
      </c>
      <c r="J794">
        <v>8.316536104259036</v>
      </c>
      <c r="K794">
        <v>0.04561689602469372</v>
      </c>
      <c r="L794">
        <v>0.579733404399089</v>
      </c>
      <c r="M794">
        <v>17.78</v>
      </c>
      <c r="N794">
        <v>12.74</v>
      </c>
    </row>
    <row r="795" spans="1:14">
      <c r="A795" s="1" t="s">
        <v>807</v>
      </c>
      <c r="B795">
        <f>HYPERLINK("https://www.suredividend.com/sure-analysis-research-database/","Heartland Financial USA, Inc.")</f>
        <v>0</v>
      </c>
      <c r="C795" t="s">
        <v>1923</v>
      </c>
      <c r="D795">
        <v>42.82</v>
      </c>
      <c r="E795">
        <v>0.02499846067707</v>
      </c>
      <c r="F795">
        <v>0.08000000000000007</v>
      </c>
      <c r="G795">
        <v>0.3099452512356213</v>
      </c>
      <c r="H795">
        <v>1.070434086192151</v>
      </c>
      <c r="I795">
        <v>1817.262345</v>
      </c>
      <c r="J795">
        <v>9.44444508034675</v>
      </c>
      <c r="K795">
        <v>0.2362989152742055</v>
      </c>
      <c r="L795">
        <v>0.6701905630832371</v>
      </c>
      <c r="M795">
        <v>53.04</v>
      </c>
      <c r="N795">
        <v>39.04</v>
      </c>
    </row>
    <row r="796" spans="1:14">
      <c r="A796" s="1" t="s">
        <v>808</v>
      </c>
      <c r="B796">
        <f>HYPERLINK("https://www.suredividend.com/sure-analysis-research-database/","Hub Group, Inc.")</f>
        <v>0</v>
      </c>
      <c r="C796" t="s">
        <v>1924</v>
      </c>
      <c r="D796">
        <v>71.09</v>
      </c>
      <c r="E796">
        <v>0</v>
      </c>
      <c r="H796">
        <v>0</v>
      </c>
      <c r="I796">
        <v>2416.241896</v>
      </c>
      <c r="J796">
        <v>7.598221063078419</v>
      </c>
      <c r="K796">
        <v>0</v>
      </c>
      <c r="L796">
        <v>0.9195419562632751</v>
      </c>
      <c r="M796">
        <v>89.62</v>
      </c>
      <c r="N796">
        <v>60.81</v>
      </c>
    </row>
    <row r="797" spans="1:14">
      <c r="A797" s="1" t="s">
        <v>809</v>
      </c>
      <c r="B797">
        <f>HYPERLINK("https://www.suredividend.com/sure-analysis-research-database/","Huron Consulting Group Inc")</f>
        <v>0</v>
      </c>
      <c r="C797" t="s">
        <v>1924</v>
      </c>
      <c r="D797">
        <v>69.56999999999999</v>
      </c>
      <c r="E797">
        <v>0</v>
      </c>
      <c r="H797">
        <v>0</v>
      </c>
      <c r="I797">
        <v>1445.95749</v>
      </c>
      <c r="J797">
        <v>16.90941025470109</v>
      </c>
      <c r="K797">
        <v>0</v>
      </c>
      <c r="L797">
        <v>0.5354721316726451</v>
      </c>
      <c r="M797">
        <v>72.67</v>
      </c>
      <c r="N797">
        <v>42.66</v>
      </c>
    </row>
    <row r="798" spans="1:14">
      <c r="A798" s="1" t="s">
        <v>810</v>
      </c>
      <c r="B798">
        <f>HYPERLINK("https://www.suredividend.com/sure-analysis-research-database/","Haverty Furniture Cos., Inc.")</f>
        <v>0</v>
      </c>
      <c r="C798" t="s">
        <v>1927</v>
      </c>
      <c r="D798">
        <v>25.25</v>
      </c>
      <c r="E798">
        <v>0.041423064317463</v>
      </c>
      <c r="F798">
        <v>0.1200000000000001</v>
      </c>
      <c r="G798">
        <v>0.09238846414037316</v>
      </c>
      <c r="H798">
        <v>1.045932374015951</v>
      </c>
      <c r="I798">
        <v>432.825855</v>
      </c>
      <c r="J798">
        <v>4.830214428399251</v>
      </c>
      <c r="K798">
        <v>0.2079388417526741</v>
      </c>
      <c r="L798">
        <v>0.8805123535288361</v>
      </c>
      <c r="M798">
        <v>34.68</v>
      </c>
      <c r="N798">
        <v>22.57</v>
      </c>
    </row>
    <row r="799" spans="1:14">
      <c r="A799" s="1" t="s">
        <v>811</v>
      </c>
      <c r="B799">
        <f>HYPERLINK("https://www.suredividend.com/sure-analysis-research-database/","Hancock Whitney Corp.")</f>
        <v>0</v>
      </c>
      <c r="C799" t="s">
        <v>1923</v>
      </c>
      <c r="D799">
        <v>47.24</v>
      </c>
      <c r="E799">
        <v>0.022678360820297</v>
      </c>
      <c r="F799">
        <v>0</v>
      </c>
      <c r="G799">
        <v>0.02383625553960966</v>
      </c>
      <c r="H799">
        <v>1.071325765150842</v>
      </c>
      <c r="I799">
        <v>4049.220391</v>
      </c>
      <c r="J799">
        <v>8.04097994030657</v>
      </c>
      <c r="K799">
        <v>0.1850303566754477</v>
      </c>
      <c r="L799">
        <v>0.9377095369306401</v>
      </c>
      <c r="M799">
        <v>58.88</v>
      </c>
      <c r="N799">
        <v>41.39</v>
      </c>
    </row>
    <row r="800" spans="1:14">
      <c r="A800" s="1" t="s">
        <v>812</v>
      </c>
      <c r="B800">
        <f>HYPERLINK("https://www.suredividend.com/sure-analysis-research-database/","Hawkins Inc")</f>
        <v>0</v>
      </c>
      <c r="C800" t="s">
        <v>1925</v>
      </c>
      <c r="D800">
        <v>38.62</v>
      </c>
      <c r="E800">
        <v>0.014169995948064</v>
      </c>
      <c r="H800">
        <v>0.5472452435142561</v>
      </c>
      <c r="I800">
        <v>811.2858210000001</v>
      </c>
      <c r="J800">
        <v>14.85626584372539</v>
      </c>
      <c r="K800">
        <v>0.2112915998124541</v>
      </c>
      <c r="L800">
        <v>0.6350554757806131</v>
      </c>
      <c r="M800">
        <v>47.78</v>
      </c>
      <c r="N800">
        <v>32.43</v>
      </c>
    </row>
    <row r="801" spans="1:14">
      <c r="A801" s="1" t="s">
        <v>813</v>
      </c>
      <c r="B801">
        <f>HYPERLINK("https://www.suredividend.com/sure-analysis-research-database/","Hyster-Yale Materials Handling Inc")</f>
        <v>0</v>
      </c>
      <c r="C801" t="s">
        <v>1924</v>
      </c>
      <c r="D801">
        <v>21.92</v>
      </c>
      <c r="E801">
        <v>0.05824785098872901</v>
      </c>
      <c r="F801">
        <v>0</v>
      </c>
      <c r="G801">
        <v>0.01288669872745452</v>
      </c>
      <c r="H801">
        <v>1.276792893672957</v>
      </c>
      <c r="I801">
        <v>287.775383</v>
      </c>
      <c r="J801">
        <v>0</v>
      </c>
      <c r="K801" t="s">
        <v>1921</v>
      </c>
      <c r="L801">
        <v>1.049332655032546</v>
      </c>
      <c r="M801">
        <v>49.63</v>
      </c>
      <c r="N801">
        <v>20.99</v>
      </c>
    </row>
    <row r="802" spans="1:14">
      <c r="A802" s="1" t="s">
        <v>814</v>
      </c>
      <c r="B802">
        <f>HYPERLINK("https://www.suredividend.com/sure-analysis-research-database/","Hydrofarm Holdings Group Inc")</f>
        <v>0</v>
      </c>
      <c r="C802" t="s">
        <v>1921</v>
      </c>
      <c r="D802">
        <v>2.21</v>
      </c>
      <c r="E802">
        <v>0</v>
      </c>
      <c r="H802">
        <v>0</v>
      </c>
      <c r="I802">
        <v>99.65823899999999</v>
      </c>
      <c r="J802">
        <v>0</v>
      </c>
      <c r="K802" t="s">
        <v>1921</v>
      </c>
      <c r="L802">
        <v>2.24627815609998</v>
      </c>
      <c r="M802">
        <v>45.01</v>
      </c>
      <c r="N802">
        <v>1.88</v>
      </c>
    </row>
    <row r="803" spans="1:14">
      <c r="A803" s="1" t="s">
        <v>815</v>
      </c>
      <c r="B803">
        <f>HYPERLINK("https://www.suredividend.com/sure-analysis-research-database/","Hyliion Holdings Corporation")</f>
        <v>0</v>
      </c>
      <c r="C803" t="s">
        <v>1921</v>
      </c>
      <c r="D803">
        <v>2.42</v>
      </c>
      <c r="E803">
        <v>0</v>
      </c>
      <c r="H803">
        <v>0</v>
      </c>
      <c r="I803">
        <v>421.156799</v>
      </c>
      <c r="J803">
        <v>0</v>
      </c>
      <c r="K803" t="s">
        <v>1921</v>
      </c>
      <c r="L803">
        <v>1.788044030486547</v>
      </c>
      <c r="M803">
        <v>9.119999999999999</v>
      </c>
      <c r="N803">
        <v>2.33</v>
      </c>
    </row>
    <row r="804" spans="1:14">
      <c r="A804" s="1" t="s">
        <v>816</v>
      </c>
      <c r="B804">
        <f>HYPERLINK("https://www.suredividend.com/sure-analysis-research-database/","HyreCar Inc")</f>
        <v>0</v>
      </c>
      <c r="C804" t="s">
        <v>1924</v>
      </c>
      <c r="D804">
        <v>0.7561</v>
      </c>
      <c r="E804">
        <v>0</v>
      </c>
      <c r="H804">
        <v>0</v>
      </c>
      <c r="I804">
        <v>22.430514</v>
      </c>
      <c r="J804">
        <v>0</v>
      </c>
      <c r="K804" t="s">
        <v>1921</v>
      </c>
      <c r="L804">
        <v>2.114001669824383</v>
      </c>
      <c r="M804">
        <v>9.74</v>
      </c>
      <c r="N804">
        <v>0.5599000000000001</v>
      </c>
    </row>
    <row r="805" spans="1:14">
      <c r="A805" s="1" t="s">
        <v>817</v>
      </c>
      <c r="B805">
        <f>HYPERLINK("https://www.suredividend.com/sure-analysis-research-database/","Marinemax, Inc.")</f>
        <v>0</v>
      </c>
      <c r="C805" t="s">
        <v>1927</v>
      </c>
      <c r="D805">
        <v>29.3</v>
      </c>
      <c r="E805">
        <v>0</v>
      </c>
      <c r="H805">
        <v>0</v>
      </c>
      <c r="I805">
        <v>630.950917</v>
      </c>
      <c r="J805">
        <v>3.278433489906732</v>
      </c>
      <c r="K805">
        <v>0</v>
      </c>
      <c r="L805">
        <v>1.234170127542833</v>
      </c>
      <c r="M805">
        <v>61.06</v>
      </c>
      <c r="N805">
        <v>28.86</v>
      </c>
    </row>
    <row r="806" spans="1:14">
      <c r="A806" s="1" t="s">
        <v>818</v>
      </c>
      <c r="B806">
        <f>HYPERLINK("https://www.suredividend.com/sure-analysis-research-database/","Integral Ad Science Holding Corp")</f>
        <v>0</v>
      </c>
      <c r="C806" t="s">
        <v>1921</v>
      </c>
      <c r="D806">
        <v>7.61</v>
      </c>
      <c r="E806">
        <v>0</v>
      </c>
      <c r="H806">
        <v>0</v>
      </c>
      <c r="I806">
        <v>1180.427144</v>
      </c>
      <c r="J806">
        <v>0</v>
      </c>
      <c r="K806" t="s">
        <v>1921</v>
      </c>
      <c r="L806">
        <v>1.441864140482357</v>
      </c>
      <c r="M806">
        <v>29.68</v>
      </c>
      <c r="N806">
        <v>7</v>
      </c>
    </row>
    <row r="807" spans="1:14">
      <c r="A807" s="1" t="s">
        <v>819</v>
      </c>
      <c r="B807">
        <f>HYPERLINK("https://www.suredividend.com/sure-analysis-research-database/","Independent Bank Corporation (Ionia, MI)")</f>
        <v>0</v>
      </c>
      <c r="C807" t="s">
        <v>1923</v>
      </c>
      <c r="D807">
        <v>19.34</v>
      </c>
      <c r="E807">
        <v>0.044292371023857</v>
      </c>
      <c r="H807">
        <v>0.856614455601396</v>
      </c>
      <c r="I807">
        <v>407.218282</v>
      </c>
      <c r="J807">
        <v>0</v>
      </c>
      <c r="K807" t="s">
        <v>1921</v>
      </c>
      <c r="L807">
        <v>0.5785787696507251</v>
      </c>
      <c r="M807">
        <v>25.21</v>
      </c>
      <c r="N807">
        <v>17.68</v>
      </c>
    </row>
    <row r="808" spans="1:14">
      <c r="A808" s="1" t="s">
        <v>820</v>
      </c>
      <c r="B808">
        <f>HYPERLINK("https://www.suredividend.com/sure-analysis-research-database/","IBEX Ltd")</f>
        <v>0</v>
      </c>
      <c r="C808" t="s">
        <v>1921</v>
      </c>
      <c r="D808">
        <v>17.55</v>
      </c>
      <c r="E808">
        <v>0</v>
      </c>
      <c r="H808">
        <v>0</v>
      </c>
      <c r="I808">
        <v>320.252382</v>
      </c>
      <c r="J808">
        <v>0</v>
      </c>
      <c r="K808" t="s">
        <v>1921</v>
      </c>
      <c r="L808">
        <v>0.436993686386736</v>
      </c>
      <c r="M808">
        <v>20.69</v>
      </c>
      <c r="N808">
        <v>10.77</v>
      </c>
    </row>
    <row r="809" spans="1:14">
      <c r="A809" s="1" t="s">
        <v>821</v>
      </c>
      <c r="B809">
        <f>HYPERLINK("https://www.suredividend.com/sure-analysis-research-database/","iBio Inc")</f>
        <v>0</v>
      </c>
      <c r="C809" t="s">
        <v>1922</v>
      </c>
      <c r="D809">
        <v>3.035</v>
      </c>
      <c r="E809">
        <v>0</v>
      </c>
      <c r="H809">
        <v>0</v>
      </c>
      <c r="I809">
        <v>662.132669</v>
      </c>
      <c r="J809">
        <v>0</v>
      </c>
      <c r="K809" t="s">
        <v>1921</v>
      </c>
      <c r="L809">
        <v>1.040294559291349</v>
      </c>
      <c r="M809">
        <v>24.65</v>
      </c>
      <c r="N809">
        <v>3.02</v>
      </c>
    </row>
    <row r="810" spans="1:14">
      <c r="A810" s="1" t="s">
        <v>822</v>
      </c>
      <c r="B810">
        <f>HYPERLINK("https://www.suredividend.com/sure-analysis-research-database/","International Bancshares Corp.")</f>
        <v>0</v>
      </c>
      <c r="C810" t="s">
        <v>1923</v>
      </c>
      <c r="D810">
        <v>44.52</v>
      </c>
      <c r="E810">
        <v>0.02677697544793</v>
      </c>
      <c r="H810">
        <v>1.192110946941863</v>
      </c>
      <c r="I810">
        <v>2771.019405</v>
      </c>
      <c r="J810">
        <v>12.44904018168014</v>
      </c>
      <c r="K810">
        <v>0.3396327484164852</v>
      </c>
      <c r="L810">
        <v>0.7357624153461001</v>
      </c>
      <c r="M810">
        <v>46.03</v>
      </c>
      <c r="N810">
        <v>37.5</v>
      </c>
    </row>
    <row r="811" spans="1:14">
      <c r="A811" s="1" t="s">
        <v>823</v>
      </c>
      <c r="B811">
        <f>HYPERLINK("https://www.suredividend.com/sure-analysis-research-database/","Installed Building Products Inc")</f>
        <v>0</v>
      </c>
      <c r="C811" t="s">
        <v>1924</v>
      </c>
      <c r="D811">
        <v>86.09</v>
      </c>
      <c r="E811">
        <v>0.024742548254717</v>
      </c>
      <c r="H811">
        <v>2.13008597924865</v>
      </c>
      <c r="I811">
        <v>2474.782053</v>
      </c>
      <c r="J811">
        <v>15.66466470031965</v>
      </c>
      <c r="K811">
        <v>0.3966640557260055</v>
      </c>
      <c r="L811">
        <v>1.25868287524407</v>
      </c>
      <c r="M811">
        <v>139.12</v>
      </c>
      <c r="N811">
        <v>69.2</v>
      </c>
    </row>
    <row r="812" spans="1:14">
      <c r="A812" s="1" t="s">
        <v>824</v>
      </c>
      <c r="B812">
        <f>HYPERLINK("https://www.suredividend.com/sure-analysis-research-database/","ImmunityBio Inc")</f>
        <v>0</v>
      </c>
      <c r="C812" t="s">
        <v>1921</v>
      </c>
      <c r="D812">
        <v>5.02</v>
      </c>
      <c r="E812">
        <v>0</v>
      </c>
      <c r="H812">
        <v>0</v>
      </c>
      <c r="I812">
        <v>2009.526612</v>
      </c>
      <c r="J812">
        <v>0</v>
      </c>
      <c r="K812" t="s">
        <v>1921</v>
      </c>
      <c r="L812">
        <v>2.347620555626345</v>
      </c>
      <c r="M812">
        <v>9.99</v>
      </c>
      <c r="N812">
        <v>2.6</v>
      </c>
    </row>
    <row r="813" spans="1:14">
      <c r="A813" s="1" t="s">
        <v>825</v>
      </c>
      <c r="B813">
        <f>HYPERLINK("https://www.suredividend.com/sure-analysis-research-database/","Independent Bank Group Inc")</f>
        <v>0</v>
      </c>
      <c r="C813" t="s">
        <v>1923</v>
      </c>
      <c r="D813">
        <v>63.96</v>
      </c>
      <c r="E813">
        <v>0.02326854515778</v>
      </c>
      <c r="F813">
        <v>0.1176470588235294</v>
      </c>
      <c r="G813">
        <v>0.3060407249698005</v>
      </c>
      <c r="H813">
        <v>1.488256148291656</v>
      </c>
      <c r="I813">
        <v>2633.158367</v>
      </c>
      <c r="J813">
        <v>12.66532164903826</v>
      </c>
      <c r="K813">
        <v>0.3031071585115389</v>
      </c>
      <c r="L813">
        <v>0.705574754877616</v>
      </c>
      <c r="M813">
        <v>78.42</v>
      </c>
      <c r="N813">
        <v>61.16</v>
      </c>
    </row>
    <row r="814" spans="1:14">
      <c r="A814" s="1" t="s">
        <v>826</v>
      </c>
      <c r="B814">
        <f>HYPERLINK("https://www.suredividend.com/sure-analysis-research-database/","Icad Inc")</f>
        <v>0</v>
      </c>
      <c r="C814" t="s">
        <v>1922</v>
      </c>
      <c r="D814">
        <v>2.04</v>
      </c>
      <c r="E814">
        <v>0</v>
      </c>
      <c r="H814">
        <v>0</v>
      </c>
      <c r="I814">
        <v>51.681227</v>
      </c>
      <c r="J814" t="s">
        <v>1921</v>
      </c>
      <c r="K814">
        <v>-0</v>
      </c>
      <c r="L814">
        <v>1.16736406317478</v>
      </c>
      <c r="M814">
        <v>11.79</v>
      </c>
      <c r="N814">
        <v>1.87</v>
      </c>
    </row>
    <row r="815" spans="1:14">
      <c r="A815" s="1" t="s">
        <v>827</v>
      </c>
      <c r="B815">
        <f>HYPERLINK("https://www.suredividend.com/sure-analysis-research-database/","ICF International, Inc")</f>
        <v>0</v>
      </c>
      <c r="C815" t="s">
        <v>1924</v>
      </c>
      <c r="D815">
        <v>112.72</v>
      </c>
      <c r="E815">
        <v>0.004957623601586</v>
      </c>
      <c r="H815">
        <v>0.5588233323707741</v>
      </c>
      <c r="I815">
        <v>2121.233043</v>
      </c>
      <c r="J815">
        <v>30.8641753416366</v>
      </c>
      <c r="K815">
        <v>0.1552287034363261</v>
      </c>
      <c r="L815">
        <v>0.634951463330793</v>
      </c>
      <c r="M815">
        <v>116</v>
      </c>
      <c r="N815">
        <v>84.31999999999999</v>
      </c>
    </row>
    <row r="816" spans="1:14">
      <c r="A816" s="1" t="s">
        <v>828</v>
      </c>
      <c r="B816">
        <f>HYPERLINK("https://www.suredividend.com/sure-analysis-research-database/","Ichor Holdings Ltd")</f>
        <v>0</v>
      </c>
      <c r="C816" t="s">
        <v>1920</v>
      </c>
      <c r="D816">
        <v>24.42</v>
      </c>
      <c r="E816">
        <v>0</v>
      </c>
      <c r="H816">
        <v>0</v>
      </c>
      <c r="I816">
        <v>701.821227</v>
      </c>
      <c r="J816">
        <v>11.14497280315061</v>
      </c>
      <c r="K816">
        <v>0</v>
      </c>
      <c r="L816">
        <v>1.906989407159258</v>
      </c>
      <c r="M816">
        <v>51.98</v>
      </c>
      <c r="N816">
        <v>21.08</v>
      </c>
    </row>
    <row r="817" spans="1:14">
      <c r="A817" s="1" t="s">
        <v>829</v>
      </c>
      <c r="B817">
        <f>HYPERLINK("https://www.suredividend.com/sure-analysis-research-database/","Intercept Pharmaceuticals Inc")</f>
        <v>0</v>
      </c>
      <c r="C817" t="s">
        <v>1922</v>
      </c>
      <c r="D817">
        <v>13.16</v>
      </c>
      <c r="E817">
        <v>0</v>
      </c>
      <c r="H817">
        <v>0</v>
      </c>
      <c r="I817">
        <v>392.142206</v>
      </c>
      <c r="J817" t="s">
        <v>1921</v>
      </c>
      <c r="K817">
        <v>-0</v>
      </c>
      <c r="L817">
        <v>1.23504385928101</v>
      </c>
      <c r="M817">
        <v>21.25</v>
      </c>
      <c r="N817">
        <v>10.81</v>
      </c>
    </row>
    <row r="818" spans="1:14">
      <c r="A818" s="1" t="s">
        <v>830</v>
      </c>
      <c r="B818">
        <f>HYPERLINK("https://www.suredividend.com/sure-analysis-research-database/","Icosavax Inc")</f>
        <v>0</v>
      </c>
      <c r="C818" t="s">
        <v>1921</v>
      </c>
      <c r="D818">
        <v>3.1</v>
      </c>
      <c r="E818">
        <v>0</v>
      </c>
      <c r="H818">
        <v>0</v>
      </c>
      <c r="I818">
        <v>123.644136</v>
      </c>
      <c r="J818">
        <v>0</v>
      </c>
      <c r="K818" t="s">
        <v>1921</v>
      </c>
      <c r="L818">
        <v>1.480258273013009</v>
      </c>
      <c r="M818">
        <v>35.78</v>
      </c>
      <c r="N818">
        <v>2.94</v>
      </c>
    </row>
    <row r="819" spans="1:14">
      <c r="A819" s="1" t="s">
        <v>831</v>
      </c>
      <c r="B819">
        <f>HYPERLINK("https://www.suredividend.com/sure-analysis-research-database/","Interdigital Inc")</f>
        <v>0</v>
      </c>
      <c r="C819" t="s">
        <v>1931</v>
      </c>
      <c r="D819">
        <v>46.85</v>
      </c>
      <c r="E819">
        <v>0.02941410360435</v>
      </c>
      <c r="F819">
        <v>0</v>
      </c>
      <c r="G819">
        <v>0</v>
      </c>
      <c r="H819">
        <v>1.378050753863813</v>
      </c>
      <c r="I819">
        <v>1389.441881</v>
      </c>
      <c r="J819">
        <v>15.93963314251626</v>
      </c>
      <c r="K819">
        <v>0.4921609835227904</v>
      </c>
      <c r="L819">
        <v>0.990638990361104</v>
      </c>
      <c r="M819">
        <v>72.52</v>
      </c>
      <c r="N819">
        <v>39.93</v>
      </c>
    </row>
    <row r="820" spans="1:14">
      <c r="A820" s="1" t="s">
        <v>832</v>
      </c>
      <c r="B820">
        <f>HYPERLINK("https://www.suredividend.com/sure-analysis-research-database/","Ideanomics Inc")</f>
        <v>0</v>
      </c>
      <c r="C820" t="s">
        <v>1920</v>
      </c>
      <c r="D820">
        <v>0.225</v>
      </c>
      <c r="E820">
        <v>0</v>
      </c>
      <c r="H820">
        <v>0</v>
      </c>
      <c r="I820">
        <v>112.020423</v>
      </c>
      <c r="J820">
        <v>0</v>
      </c>
      <c r="K820" t="s">
        <v>1921</v>
      </c>
      <c r="L820">
        <v>1.596092070556518</v>
      </c>
      <c r="M820">
        <v>2.14</v>
      </c>
      <c r="N820">
        <v>0.22</v>
      </c>
    </row>
    <row r="821" spans="1:14">
      <c r="A821" s="1" t="s">
        <v>833</v>
      </c>
      <c r="B821">
        <f>HYPERLINK("https://www.suredividend.com/sure-analysis-research-database/","IDT Corp.")</f>
        <v>0</v>
      </c>
      <c r="C821" t="s">
        <v>1931</v>
      </c>
      <c r="D821">
        <v>30</v>
      </c>
      <c r="E821">
        <v>0</v>
      </c>
      <c r="H821">
        <v>0</v>
      </c>
      <c r="I821">
        <v>739.99986</v>
      </c>
      <c r="J821">
        <v>15.25426934097421</v>
      </c>
      <c r="K821">
        <v>0</v>
      </c>
      <c r="L821">
        <v>1.237143822480587</v>
      </c>
      <c r="M821">
        <v>67.3</v>
      </c>
      <c r="N821">
        <v>21.68</v>
      </c>
    </row>
    <row r="822" spans="1:14">
      <c r="A822" s="1" t="s">
        <v>834</v>
      </c>
      <c r="B822">
        <f>HYPERLINK("https://www.suredividend.com/sure-analysis-research-database/","Ideaya Biosciences Inc")</f>
        <v>0</v>
      </c>
      <c r="C822" t="s">
        <v>1922</v>
      </c>
      <c r="D822">
        <v>14.99</v>
      </c>
      <c r="E822">
        <v>0</v>
      </c>
      <c r="H822">
        <v>0</v>
      </c>
      <c r="I822">
        <v>589.193972</v>
      </c>
      <c r="J822">
        <v>0</v>
      </c>
      <c r="K822" t="s">
        <v>1921</v>
      </c>
      <c r="L822">
        <v>1.225815084128937</v>
      </c>
      <c r="M822">
        <v>26.3</v>
      </c>
      <c r="N822">
        <v>8.140000000000001</v>
      </c>
    </row>
    <row r="823" spans="1:14">
      <c r="A823" s="1" t="s">
        <v>835</v>
      </c>
      <c r="B823">
        <f>HYPERLINK("https://www.suredividend.com/sure-analysis-research-database/","Infrastructure and Energy Alternatives Inc")</f>
        <v>0</v>
      </c>
      <c r="C823" t="s">
        <v>1924</v>
      </c>
      <c r="D823">
        <v>13.72</v>
      </c>
      <c r="E823">
        <v>0</v>
      </c>
      <c r="H823">
        <v>0</v>
      </c>
      <c r="I823">
        <v>0</v>
      </c>
      <c r="J823">
        <v>0</v>
      </c>
      <c r="K823">
        <v>-0</v>
      </c>
    </row>
    <row r="824" spans="1:14">
      <c r="A824" s="1" t="s">
        <v>836</v>
      </c>
      <c r="B824">
        <f>HYPERLINK("https://www.suredividend.com/sure-analysis-research-database/","IES Holdings Inc")</f>
        <v>0</v>
      </c>
      <c r="C824" t="s">
        <v>1924</v>
      </c>
      <c r="D824">
        <v>29.26</v>
      </c>
      <c r="E824">
        <v>0</v>
      </c>
      <c r="H824">
        <v>0</v>
      </c>
      <c r="I824">
        <v>600.52393</v>
      </c>
      <c r="J824">
        <v>16.19142953867724</v>
      </c>
      <c r="K824">
        <v>0</v>
      </c>
      <c r="L824">
        <v>0.9893033843528851</v>
      </c>
      <c r="M824">
        <v>55.98</v>
      </c>
      <c r="N824">
        <v>24.94</v>
      </c>
    </row>
    <row r="825" spans="1:14">
      <c r="A825" s="1" t="s">
        <v>837</v>
      </c>
      <c r="B825">
        <f>HYPERLINK("https://www.suredividend.com/sure-analysis-research-database/","IGM Biosciences Inc")</f>
        <v>0</v>
      </c>
      <c r="C825" t="s">
        <v>1922</v>
      </c>
      <c r="D825">
        <v>21.34</v>
      </c>
      <c r="E825">
        <v>0</v>
      </c>
      <c r="H825">
        <v>0</v>
      </c>
      <c r="I825">
        <v>618.197649</v>
      </c>
      <c r="J825">
        <v>0</v>
      </c>
      <c r="K825" t="s">
        <v>1921</v>
      </c>
      <c r="L825">
        <v>1.844634765917102</v>
      </c>
      <c r="M825">
        <v>65.08</v>
      </c>
      <c r="N825">
        <v>12.67</v>
      </c>
    </row>
    <row r="826" spans="1:14">
      <c r="A826" s="1" t="s">
        <v>838</v>
      </c>
      <c r="B826">
        <f>HYPERLINK("https://www.suredividend.com/sure-analysis-research-database/","International Game Technology PLC")</f>
        <v>0</v>
      </c>
      <c r="C826" t="s">
        <v>1927</v>
      </c>
      <c r="D826">
        <v>16.96</v>
      </c>
      <c r="E826">
        <v>0.046529984113136</v>
      </c>
      <c r="H826">
        <v>0.7891485305587891</v>
      </c>
      <c r="I826">
        <v>3454.550481</v>
      </c>
      <c r="J826">
        <v>21.590940508</v>
      </c>
      <c r="K826">
        <v>1.015373816982487</v>
      </c>
      <c r="L826">
        <v>1.812774931457848</v>
      </c>
      <c r="M826">
        <v>31.83</v>
      </c>
      <c r="N826">
        <v>15.01</v>
      </c>
    </row>
    <row r="827" spans="1:14">
      <c r="A827" s="1" t="s">
        <v>839</v>
      </c>
      <c r="B827">
        <f>HYPERLINK("https://www.suredividend.com/sure-analysis-research-database/","iHeartMedia Inc")</f>
        <v>0</v>
      </c>
      <c r="C827" t="s">
        <v>1931</v>
      </c>
      <c r="D827">
        <v>7.31</v>
      </c>
      <c r="E827">
        <v>0</v>
      </c>
      <c r="H827">
        <v>0</v>
      </c>
      <c r="I827">
        <v>884.733021</v>
      </c>
      <c r="J827">
        <v>0</v>
      </c>
      <c r="K827" t="s">
        <v>1921</v>
      </c>
      <c r="L827">
        <v>1.622216240967051</v>
      </c>
      <c r="M827">
        <v>23.43</v>
      </c>
      <c r="N827">
        <v>6.43</v>
      </c>
    </row>
    <row r="828" spans="1:14">
      <c r="A828" s="1" t="s">
        <v>840</v>
      </c>
      <c r="B828">
        <f>HYPERLINK("https://www.suredividend.com/sure-analysis-research-database/","Insteel Industries, Inc.")</f>
        <v>0</v>
      </c>
      <c r="C828" t="s">
        <v>1924</v>
      </c>
      <c r="D828">
        <v>27.96</v>
      </c>
      <c r="E828">
        <v>0.004286019271622</v>
      </c>
      <c r="F828">
        <v>-0.985</v>
      </c>
      <c r="G828">
        <v>0</v>
      </c>
      <c r="H828">
        <v>0.119837098834566</v>
      </c>
      <c r="I828">
        <v>545.382392</v>
      </c>
      <c r="J828">
        <v>4.333349687979215</v>
      </c>
      <c r="K828">
        <v>0.01869533523160156</v>
      </c>
      <c r="L828">
        <v>0.9309881459838071</v>
      </c>
      <c r="M828">
        <v>47.61</v>
      </c>
      <c r="N828">
        <v>26.02</v>
      </c>
    </row>
    <row r="829" spans="1:14">
      <c r="A829" s="1" t="s">
        <v>841</v>
      </c>
      <c r="B829">
        <f>HYPERLINK("https://www.suredividend.com/sure-analysis-research-database/","i3 Verticals Inc")</f>
        <v>0</v>
      </c>
      <c r="C829" t="s">
        <v>1920</v>
      </c>
      <c r="D829">
        <v>20.1</v>
      </c>
      <c r="E829">
        <v>0</v>
      </c>
      <c r="H829">
        <v>0</v>
      </c>
      <c r="I829">
        <v>447.485034</v>
      </c>
      <c r="J829" t="s">
        <v>1921</v>
      </c>
      <c r="K829">
        <v>-0</v>
      </c>
      <c r="L829">
        <v>1.365852310104878</v>
      </c>
      <c r="M829">
        <v>30.26</v>
      </c>
      <c r="N829">
        <v>17.8</v>
      </c>
    </row>
    <row r="830" spans="1:14">
      <c r="A830" s="1" t="s">
        <v>842</v>
      </c>
      <c r="B830">
        <f>HYPERLINK("https://www.suredividend.com/sure-analysis-IIPR/","Innovative Industrial Properties Inc")</f>
        <v>0</v>
      </c>
      <c r="C830" t="s">
        <v>1929</v>
      </c>
      <c r="D830">
        <v>92.89</v>
      </c>
      <c r="E830">
        <v>0.07751103455700291</v>
      </c>
      <c r="F830">
        <v>0.2</v>
      </c>
      <c r="G830">
        <v>0.4841113939020589</v>
      </c>
      <c r="H830">
        <v>6.643106751529185</v>
      </c>
      <c r="I830">
        <v>2598.45182</v>
      </c>
      <c r="J830">
        <v>19.67346678737725</v>
      </c>
      <c r="K830">
        <v>1.347486156496792</v>
      </c>
      <c r="L830">
        <v>1.356420315711184</v>
      </c>
      <c r="M830">
        <v>274.26</v>
      </c>
      <c r="N830">
        <v>85.79000000000001</v>
      </c>
    </row>
    <row r="831" spans="1:14">
      <c r="A831" s="1" t="s">
        <v>843</v>
      </c>
      <c r="B831">
        <f>HYPERLINK("https://www.suredividend.com/sure-analysis-research-database/","Ii-Vi Inc.")</f>
        <v>0</v>
      </c>
      <c r="C831" t="s">
        <v>1920</v>
      </c>
      <c r="D831">
        <v>43.26</v>
      </c>
      <c r="E831">
        <v>0</v>
      </c>
      <c r="H831">
        <v>0</v>
      </c>
      <c r="I831">
        <v>5490.182255</v>
      </c>
      <c r="J831">
        <v>32.96733552667924</v>
      </c>
      <c r="K831">
        <v>0</v>
      </c>
      <c r="L831">
        <v>1.395687722552467</v>
      </c>
      <c r="M831">
        <v>75.05</v>
      </c>
      <c r="N831">
        <v>40.8</v>
      </c>
    </row>
    <row r="832" spans="1:14">
      <c r="A832" s="1" t="s">
        <v>844</v>
      </c>
      <c r="B832">
        <f>HYPERLINK("https://www.suredividend.com/sure-analysis-research-database/","Ikena Oncology Inc")</f>
        <v>0</v>
      </c>
      <c r="C832" t="s">
        <v>1921</v>
      </c>
      <c r="D832">
        <v>3.26</v>
      </c>
      <c r="E832">
        <v>0</v>
      </c>
      <c r="H832">
        <v>0</v>
      </c>
      <c r="I832">
        <v>118.199427</v>
      </c>
      <c r="J832">
        <v>0</v>
      </c>
      <c r="K832" t="s">
        <v>1921</v>
      </c>
      <c r="L832">
        <v>1.550659248139347</v>
      </c>
      <c r="M832">
        <v>17.5</v>
      </c>
      <c r="N832">
        <v>2.83</v>
      </c>
    </row>
    <row r="833" spans="1:14">
      <c r="A833" s="1" t="s">
        <v>845</v>
      </c>
      <c r="B833">
        <f>HYPERLINK("https://www.suredividend.com/sure-analysis-ILPT/","Industrial Logistics Properties Trust")</f>
        <v>0</v>
      </c>
      <c r="C833" t="s">
        <v>1929</v>
      </c>
      <c r="D833">
        <v>4.54</v>
      </c>
      <c r="E833">
        <v>0.00881057268722467</v>
      </c>
      <c r="H833">
        <v>0.983728420715</v>
      </c>
      <c r="I833">
        <v>297.040664</v>
      </c>
      <c r="J833" t="s">
        <v>1921</v>
      </c>
      <c r="K833" t="s">
        <v>1921</v>
      </c>
      <c r="L833">
        <v>0.889373438043041</v>
      </c>
      <c r="M833">
        <v>27.77</v>
      </c>
      <c r="N833">
        <v>4.5</v>
      </c>
    </row>
    <row r="834" spans="1:14">
      <c r="A834" s="1" t="s">
        <v>846</v>
      </c>
      <c r="B834">
        <f>HYPERLINK("https://www.suredividend.com/sure-analysis-research-database/","Imax Corp")</f>
        <v>0</v>
      </c>
      <c r="C834" t="s">
        <v>1931</v>
      </c>
      <c r="D834">
        <v>14.01</v>
      </c>
      <c r="E834">
        <v>0</v>
      </c>
      <c r="H834">
        <v>0</v>
      </c>
      <c r="I834">
        <v>785.896162</v>
      </c>
      <c r="J834" t="s">
        <v>1921</v>
      </c>
      <c r="K834">
        <v>-0</v>
      </c>
      <c r="L834">
        <v>1.182925776121659</v>
      </c>
      <c r="M834">
        <v>22.1</v>
      </c>
      <c r="N834">
        <v>13.44</v>
      </c>
    </row>
    <row r="835" spans="1:14">
      <c r="A835" s="1" t="s">
        <v>847</v>
      </c>
      <c r="B835">
        <f>HYPERLINK("https://www.suredividend.com/sure-analysis-research-database/","Immunogen, Inc.")</f>
        <v>0</v>
      </c>
      <c r="C835" t="s">
        <v>1922</v>
      </c>
      <c r="D835">
        <v>5.75</v>
      </c>
      <c r="E835">
        <v>0</v>
      </c>
      <c r="H835">
        <v>0</v>
      </c>
      <c r="I835">
        <v>1269.100268</v>
      </c>
      <c r="J835" t="s">
        <v>1921</v>
      </c>
      <c r="K835">
        <v>-0</v>
      </c>
      <c r="L835">
        <v>1.456618635409839</v>
      </c>
      <c r="M835">
        <v>7.77</v>
      </c>
      <c r="N835">
        <v>3.1</v>
      </c>
    </row>
    <row r="836" spans="1:14">
      <c r="A836" s="1" t="s">
        <v>848</v>
      </c>
      <c r="B836">
        <f>HYPERLINK("https://www.suredividend.com/sure-analysis-research-database/","Imago BioSciences Inc")</f>
        <v>0</v>
      </c>
      <c r="C836" t="s">
        <v>1921</v>
      </c>
      <c r="D836">
        <v>15.57</v>
      </c>
      <c r="E836">
        <v>0</v>
      </c>
      <c r="H836">
        <v>0</v>
      </c>
      <c r="I836">
        <v>525.3574589999999</v>
      </c>
      <c r="J836">
        <v>0</v>
      </c>
      <c r="K836" t="s">
        <v>1921</v>
      </c>
      <c r="L836">
        <v>1.740676632832388</v>
      </c>
      <c r="M836">
        <v>30.21</v>
      </c>
      <c r="N836">
        <v>11.56</v>
      </c>
    </row>
    <row r="837" spans="1:14">
      <c r="A837" s="1" t="s">
        <v>849</v>
      </c>
      <c r="B837">
        <f>HYPERLINK("https://www.suredividend.com/sure-analysis-research-database/","Ingles Markets, Inc.")</f>
        <v>0</v>
      </c>
      <c r="C837" t="s">
        <v>1928</v>
      </c>
      <c r="D837">
        <v>85.15000000000001</v>
      </c>
      <c r="E837">
        <v>0.007728557170153001</v>
      </c>
      <c r="F837">
        <v>0</v>
      </c>
      <c r="G837">
        <v>0</v>
      </c>
      <c r="H837">
        <v>0.6580866430385851</v>
      </c>
      <c r="I837">
        <v>1223.810712</v>
      </c>
      <c r="J837">
        <v>4.460973190656976</v>
      </c>
      <c r="K837">
        <v>0.04557386724643941</v>
      </c>
      <c r="L837">
        <v>0.547268317215009</v>
      </c>
      <c r="M837">
        <v>102.67</v>
      </c>
      <c r="N837">
        <v>63.95</v>
      </c>
    </row>
    <row r="838" spans="1:14">
      <c r="A838" s="1" t="s">
        <v>850</v>
      </c>
      <c r="B838">
        <f>HYPERLINK("https://www.suredividend.com/sure-analysis-research-database/","Impel Pharmaceuticals Inc")</f>
        <v>0</v>
      </c>
      <c r="C838" t="s">
        <v>1921</v>
      </c>
      <c r="D838">
        <v>4.85</v>
      </c>
      <c r="E838">
        <v>0</v>
      </c>
      <c r="H838">
        <v>0</v>
      </c>
      <c r="I838">
        <v>115.133243</v>
      </c>
      <c r="J838">
        <v>0</v>
      </c>
      <c r="K838" t="s">
        <v>1921</v>
      </c>
      <c r="L838">
        <v>1.161432709555439</v>
      </c>
      <c r="M838">
        <v>12.56</v>
      </c>
      <c r="N838">
        <v>4.62</v>
      </c>
    </row>
    <row r="839" spans="1:14">
      <c r="A839" s="1" t="s">
        <v>851</v>
      </c>
      <c r="B839">
        <f>HYPERLINK("https://www.suredividend.com/sure-analysis-research-database/","Immuneering Corp")</f>
        <v>0</v>
      </c>
      <c r="C839" t="s">
        <v>1921</v>
      </c>
      <c r="D839">
        <v>13.6</v>
      </c>
      <c r="E839">
        <v>0</v>
      </c>
      <c r="H839">
        <v>0</v>
      </c>
      <c r="I839">
        <v>358.935266</v>
      </c>
      <c r="J839">
        <v>0</v>
      </c>
      <c r="K839" t="s">
        <v>1921</v>
      </c>
      <c r="L839">
        <v>1.37627690199448</v>
      </c>
      <c r="M839">
        <v>31.89</v>
      </c>
      <c r="N839">
        <v>3.74</v>
      </c>
    </row>
    <row r="840" spans="1:14">
      <c r="A840" s="1" t="s">
        <v>852</v>
      </c>
      <c r="B840">
        <f>HYPERLINK("https://www.suredividend.com/sure-analysis-research-database/","Immunic Inc")</f>
        <v>0</v>
      </c>
      <c r="C840" t="s">
        <v>1922</v>
      </c>
      <c r="D840">
        <v>6.2</v>
      </c>
      <c r="E840">
        <v>0</v>
      </c>
      <c r="H840">
        <v>0</v>
      </c>
      <c r="I840">
        <v>189.502969</v>
      </c>
      <c r="J840">
        <v>0</v>
      </c>
      <c r="K840" t="s">
        <v>1921</v>
      </c>
      <c r="L840">
        <v>1.111431460685477</v>
      </c>
      <c r="M840">
        <v>14.5</v>
      </c>
      <c r="N840">
        <v>2.52</v>
      </c>
    </row>
    <row r="841" spans="1:14">
      <c r="A841" s="1" t="s">
        <v>853</v>
      </c>
      <c r="B841">
        <f>HYPERLINK("https://www.suredividend.com/sure-analysis-research-database/","Immunovant Inc")</f>
        <v>0</v>
      </c>
      <c r="C841" t="s">
        <v>1922</v>
      </c>
      <c r="D841">
        <v>9.539999999999999</v>
      </c>
      <c r="E841">
        <v>0</v>
      </c>
      <c r="H841">
        <v>0</v>
      </c>
      <c r="I841">
        <v>1112.146259</v>
      </c>
      <c r="J841">
        <v>0</v>
      </c>
      <c r="K841" t="s">
        <v>1921</v>
      </c>
      <c r="L841">
        <v>1.427769041136311</v>
      </c>
      <c r="M841">
        <v>10.13</v>
      </c>
      <c r="N841">
        <v>3.15</v>
      </c>
    </row>
    <row r="842" spans="1:14">
      <c r="A842" s="1" t="s">
        <v>854</v>
      </c>
      <c r="B842">
        <f>HYPERLINK("https://www.suredividend.com/sure-analysis-research-database/","International Money Express Inc.")</f>
        <v>0</v>
      </c>
      <c r="C842" t="s">
        <v>1920</v>
      </c>
      <c r="D842">
        <v>23.68</v>
      </c>
      <c r="E842">
        <v>0</v>
      </c>
      <c r="H842">
        <v>0</v>
      </c>
      <c r="I842">
        <v>896.888809</v>
      </c>
      <c r="J842">
        <v>0</v>
      </c>
      <c r="K842" t="s">
        <v>1921</v>
      </c>
      <c r="L842">
        <v>0.626465494154761</v>
      </c>
      <c r="M842">
        <v>26.23</v>
      </c>
      <c r="N842">
        <v>14.66</v>
      </c>
    </row>
    <row r="843" spans="1:14">
      <c r="A843" s="1" t="s">
        <v>855</v>
      </c>
      <c r="B843">
        <f>HYPERLINK("https://www.suredividend.com/sure-analysis-research-database/","First Internet Bancorp")</f>
        <v>0</v>
      </c>
      <c r="C843" t="s">
        <v>1923</v>
      </c>
      <c r="D843">
        <v>29.74</v>
      </c>
      <c r="E843">
        <v>0.008050301108919</v>
      </c>
      <c r="F843">
        <v>0</v>
      </c>
      <c r="G843">
        <v>0</v>
      </c>
      <c r="H843">
        <v>0.239415954979271</v>
      </c>
      <c r="I843">
        <v>279.798411</v>
      </c>
      <c r="J843">
        <v>0</v>
      </c>
      <c r="K843" t="s">
        <v>1921</v>
      </c>
      <c r="L843">
        <v>0.8817037428671151</v>
      </c>
      <c r="M843">
        <v>53.31</v>
      </c>
      <c r="N843">
        <v>29.73</v>
      </c>
    </row>
    <row r="844" spans="1:14">
      <c r="A844" s="1" t="s">
        <v>856</v>
      </c>
      <c r="B844">
        <f>HYPERLINK("https://www.suredividend.com/sure-analysis-research-database/","Inhibrx Inc")</f>
        <v>0</v>
      </c>
      <c r="C844" t="s">
        <v>1921</v>
      </c>
      <c r="D844">
        <v>29.92</v>
      </c>
      <c r="E844">
        <v>0</v>
      </c>
      <c r="H844">
        <v>0</v>
      </c>
      <c r="I844">
        <v>1168.605965</v>
      </c>
      <c r="J844">
        <v>0</v>
      </c>
      <c r="K844" t="s">
        <v>1921</v>
      </c>
      <c r="L844">
        <v>2.248799203152923</v>
      </c>
      <c r="M844">
        <v>47.9</v>
      </c>
      <c r="N844">
        <v>7.67</v>
      </c>
    </row>
    <row r="845" spans="1:14">
      <c r="A845" s="1" t="s">
        <v>857</v>
      </c>
      <c r="B845">
        <f>HYPERLINK("https://www.suredividend.com/sure-analysis-research-database/","Independent Bank Corp.")</f>
        <v>0</v>
      </c>
      <c r="C845" t="s">
        <v>1923</v>
      </c>
      <c r="D845">
        <v>77.51000000000001</v>
      </c>
      <c r="E845">
        <v>0.025686986658922</v>
      </c>
      <c r="F845">
        <v>0.0625</v>
      </c>
      <c r="G845">
        <v>0.09770094871374502</v>
      </c>
      <c r="H845">
        <v>1.990998335933077</v>
      </c>
      <c r="I845">
        <v>3625.840212</v>
      </c>
      <c r="J845">
        <v>23.15617511904306</v>
      </c>
      <c r="K845">
        <v>0.5323524962387907</v>
      </c>
      <c r="L845">
        <v>0.615653594713185</v>
      </c>
      <c r="M845">
        <v>91.2</v>
      </c>
      <c r="N845">
        <v>73.65000000000001</v>
      </c>
    </row>
    <row r="846" spans="1:14">
      <c r="A846" s="1" t="s">
        <v>858</v>
      </c>
      <c r="B846">
        <f>HYPERLINK("https://www.suredividend.com/sure-analysis-research-database/","INDUS Realty Trust Inc")</f>
        <v>0</v>
      </c>
      <c r="C846" t="s">
        <v>1921</v>
      </c>
      <c r="D846">
        <v>49.68</v>
      </c>
      <c r="E846">
        <v>0.012828999949045</v>
      </c>
      <c r="H846">
        <v>0.637344717468583</v>
      </c>
      <c r="I846">
        <v>506.354259</v>
      </c>
      <c r="J846">
        <v>26.43595378928683</v>
      </c>
      <c r="K846">
        <v>0.3251758762594811</v>
      </c>
      <c r="L846">
        <v>0.556474539313038</v>
      </c>
      <c r="M846">
        <v>82.29000000000001</v>
      </c>
      <c r="N846">
        <v>49.14</v>
      </c>
    </row>
    <row r="847" spans="1:14">
      <c r="A847" s="1" t="s">
        <v>859</v>
      </c>
      <c r="B847">
        <f>HYPERLINK("https://www.suredividend.com/sure-analysis-research-database/","Infinity Pharmaceuticals Inc.")</f>
        <v>0</v>
      </c>
      <c r="C847" t="s">
        <v>1922</v>
      </c>
      <c r="D847">
        <v>1.11</v>
      </c>
      <c r="E847">
        <v>0</v>
      </c>
      <c r="H847">
        <v>0</v>
      </c>
      <c r="I847">
        <v>99.098439</v>
      </c>
      <c r="J847" t="s">
        <v>1921</v>
      </c>
      <c r="K847">
        <v>-0</v>
      </c>
      <c r="L847">
        <v>1.900175336584739</v>
      </c>
      <c r="M847">
        <v>3.07</v>
      </c>
      <c r="N847">
        <v>0.4605</v>
      </c>
    </row>
    <row r="848" spans="1:14">
      <c r="A848" s="1" t="s">
        <v>860</v>
      </c>
      <c r="B848">
        <f>HYPERLINK("https://www.suredividend.com/sure-analysis-research-database/","Infinera Corp.")</f>
        <v>0</v>
      </c>
      <c r="C848" t="s">
        <v>1920</v>
      </c>
      <c r="D848">
        <v>4.83</v>
      </c>
      <c r="E848">
        <v>0</v>
      </c>
      <c r="H848">
        <v>0</v>
      </c>
      <c r="I848">
        <v>1047.792225</v>
      </c>
      <c r="J848" t="s">
        <v>1921</v>
      </c>
      <c r="K848">
        <v>-0</v>
      </c>
      <c r="L848">
        <v>1.312542204520811</v>
      </c>
      <c r="M848">
        <v>9.859999999999999</v>
      </c>
      <c r="N848">
        <v>4.51</v>
      </c>
    </row>
    <row r="849" spans="1:14">
      <c r="A849" s="1" t="s">
        <v>861</v>
      </c>
      <c r="B849">
        <f>HYPERLINK("https://www.suredividend.com/sure-analysis-research-database/","InfuSystem Holdings Inc")</f>
        <v>0</v>
      </c>
      <c r="C849" t="s">
        <v>1922</v>
      </c>
      <c r="D849">
        <v>7.16</v>
      </c>
      <c r="E849">
        <v>0</v>
      </c>
      <c r="H849">
        <v>0</v>
      </c>
      <c r="I849">
        <v>148.174868</v>
      </c>
      <c r="J849">
        <v>0</v>
      </c>
      <c r="K849" t="s">
        <v>1921</v>
      </c>
      <c r="L849">
        <v>0.8002084793602631</v>
      </c>
      <c r="M849">
        <v>19.14</v>
      </c>
      <c r="N849">
        <v>6.1</v>
      </c>
    </row>
    <row r="850" spans="1:14">
      <c r="A850" s="1" t="s">
        <v>862</v>
      </c>
      <c r="B850">
        <f>HYPERLINK("https://www.suredividend.com/sure-analysis-research-database/","Inogen Inc")</f>
        <v>0</v>
      </c>
      <c r="C850" t="s">
        <v>1922</v>
      </c>
      <c r="D850">
        <v>21.26</v>
      </c>
      <c r="E850">
        <v>0</v>
      </c>
      <c r="H850">
        <v>0</v>
      </c>
      <c r="I850">
        <v>486.141067</v>
      </c>
      <c r="J850" t="s">
        <v>1921</v>
      </c>
      <c r="K850">
        <v>-0</v>
      </c>
      <c r="L850">
        <v>1.062491174919837</v>
      </c>
      <c r="M850">
        <v>42.62</v>
      </c>
      <c r="N850">
        <v>20.97</v>
      </c>
    </row>
    <row r="851" spans="1:14">
      <c r="A851" s="1" t="s">
        <v>863</v>
      </c>
      <c r="B851">
        <f>HYPERLINK("https://www.suredividend.com/sure-analysis-research-database/","Summit Hotel Properties Inc")</f>
        <v>0</v>
      </c>
      <c r="C851" t="s">
        <v>1929</v>
      </c>
      <c r="D851">
        <v>6.79</v>
      </c>
      <c r="E851">
        <v>0.00589101606862</v>
      </c>
      <c r="H851">
        <v>0.03999999910593</v>
      </c>
      <c r="I851">
        <v>725.844285</v>
      </c>
      <c r="J851" t="s">
        <v>1921</v>
      </c>
      <c r="K851" t="s">
        <v>1921</v>
      </c>
      <c r="L851">
        <v>1.16643087374562</v>
      </c>
      <c r="M851">
        <v>10.89</v>
      </c>
      <c r="N851">
        <v>6.58</v>
      </c>
    </row>
    <row r="852" spans="1:14">
      <c r="A852" s="1" t="s">
        <v>864</v>
      </c>
      <c r="B852">
        <f>HYPERLINK("https://www.suredividend.com/sure-analysis-research-database/","InnovAge Holding Corp")</f>
        <v>0</v>
      </c>
      <c r="C852" t="s">
        <v>1921</v>
      </c>
      <c r="D852">
        <v>4.62</v>
      </c>
      <c r="E852">
        <v>0</v>
      </c>
      <c r="H852">
        <v>0</v>
      </c>
      <c r="I852">
        <v>626.313529</v>
      </c>
      <c r="J852">
        <v>0</v>
      </c>
      <c r="K852" t="s">
        <v>1921</v>
      </c>
      <c r="L852">
        <v>1.261472045388595</v>
      </c>
      <c r="M852">
        <v>9.210000000000001</v>
      </c>
      <c r="N852">
        <v>3.39</v>
      </c>
    </row>
    <row r="853" spans="1:14">
      <c r="A853" s="1" t="s">
        <v>865</v>
      </c>
      <c r="B853">
        <f>HYPERLINK("https://www.suredividend.com/sure-analysis-research-database/","Inovio Pharmaceuticals Inc")</f>
        <v>0</v>
      </c>
      <c r="C853" t="s">
        <v>1922</v>
      </c>
      <c r="D853">
        <v>1.56</v>
      </c>
      <c r="E853">
        <v>0</v>
      </c>
      <c r="H853">
        <v>0</v>
      </c>
      <c r="I853">
        <v>389.064744</v>
      </c>
      <c r="J853" t="s">
        <v>1921</v>
      </c>
      <c r="K853">
        <v>-0</v>
      </c>
      <c r="L853">
        <v>1.987530513008001</v>
      </c>
      <c r="M853">
        <v>7.77</v>
      </c>
      <c r="N853">
        <v>1.38</v>
      </c>
    </row>
    <row r="854" spans="1:14">
      <c r="A854" s="1" t="s">
        <v>866</v>
      </c>
      <c r="B854">
        <f>HYPERLINK("https://www.suredividend.com/sure-analysis-research-database/","Inseego Corp")</f>
        <v>0</v>
      </c>
      <c r="C854" t="s">
        <v>1920</v>
      </c>
      <c r="D854">
        <v>1.93</v>
      </c>
      <c r="E854">
        <v>0</v>
      </c>
      <c r="H854">
        <v>0</v>
      </c>
      <c r="I854">
        <v>207.79416</v>
      </c>
      <c r="J854" t="s">
        <v>1921</v>
      </c>
      <c r="K854">
        <v>-0</v>
      </c>
      <c r="L854">
        <v>1.714613764784428</v>
      </c>
      <c r="M854">
        <v>7.98</v>
      </c>
      <c r="N854">
        <v>1.74</v>
      </c>
    </row>
    <row r="855" spans="1:14">
      <c r="A855" s="1" t="s">
        <v>867</v>
      </c>
      <c r="B855">
        <f>HYPERLINK("https://www.suredividend.com/sure-analysis-research-database/","Insmed Inc")</f>
        <v>0</v>
      </c>
      <c r="C855" t="s">
        <v>1922</v>
      </c>
      <c r="D855">
        <v>21.56</v>
      </c>
      <c r="E855">
        <v>0</v>
      </c>
      <c r="H855">
        <v>0</v>
      </c>
      <c r="I855">
        <v>2586.666713</v>
      </c>
      <c r="J855" t="s">
        <v>1921</v>
      </c>
      <c r="K855">
        <v>-0</v>
      </c>
      <c r="L855">
        <v>1.36344547681162</v>
      </c>
      <c r="M855">
        <v>34.44</v>
      </c>
      <c r="N855">
        <v>16.41</v>
      </c>
    </row>
    <row r="856" spans="1:14">
      <c r="A856" s="1" t="s">
        <v>868</v>
      </c>
      <c r="B856">
        <f>HYPERLINK("https://www.suredividend.com/sure-analysis-research-database/","Inspire Medical Systems Inc")</f>
        <v>0</v>
      </c>
      <c r="C856" t="s">
        <v>1922</v>
      </c>
      <c r="D856">
        <v>168.3</v>
      </c>
      <c r="E856">
        <v>0</v>
      </c>
      <c r="H856">
        <v>0</v>
      </c>
      <c r="I856">
        <v>4651.571331</v>
      </c>
      <c r="J856" t="s">
        <v>1921</v>
      </c>
      <c r="K856">
        <v>-0</v>
      </c>
      <c r="L856">
        <v>1.671936297245509</v>
      </c>
      <c r="M856">
        <v>286.29</v>
      </c>
      <c r="N856">
        <v>142.74</v>
      </c>
    </row>
    <row r="857" spans="1:14">
      <c r="A857" s="1" t="s">
        <v>869</v>
      </c>
      <c r="B857">
        <f>HYPERLINK("https://www.suredividend.com/sure-analysis-research-database/","Instructure Holdings Inc")</f>
        <v>0</v>
      </c>
      <c r="C857" t="s">
        <v>1921</v>
      </c>
      <c r="D857">
        <v>21.16</v>
      </c>
      <c r="E857">
        <v>0</v>
      </c>
      <c r="H857">
        <v>0</v>
      </c>
      <c r="I857">
        <v>3002.907519</v>
      </c>
      <c r="J857">
        <v>0</v>
      </c>
      <c r="K857" t="s">
        <v>1921</v>
      </c>
      <c r="L857">
        <v>0.9145029283053241</v>
      </c>
      <c r="M857">
        <v>29.59</v>
      </c>
      <c r="N857">
        <v>15.68</v>
      </c>
    </row>
    <row r="858" spans="1:14">
      <c r="A858" s="1" t="s">
        <v>870</v>
      </c>
      <c r="B858">
        <f>HYPERLINK("https://www.suredividend.com/sure-analysis-research-database/","International Seaways Inc")</f>
        <v>0</v>
      </c>
      <c r="C858" t="s">
        <v>1924</v>
      </c>
      <c r="D858">
        <v>34.31</v>
      </c>
      <c r="E858">
        <v>0.010442452271209</v>
      </c>
      <c r="H858">
        <v>0.358280537425189</v>
      </c>
      <c r="I858">
        <v>1705.060565</v>
      </c>
      <c r="J858" t="s">
        <v>1921</v>
      </c>
      <c r="K858" t="s">
        <v>1921</v>
      </c>
      <c r="L858">
        <v>0.499126512631389</v>
      </c>
      <c r="M858">
        <v>36.72</v>
      </c>
      <c r="N858">
        <v>12.89</v>
      </c>
    </row>
    <row r="859" spans="1:14">
      <c r="A859" s="1" t="s">
        <v>871</v>
      </c>
      <c r="B859">
        <f>HYPERLINK("https://www.suredividend.com/sure-analysis-research-database/","World Fuel Services Corp.")</f>
        <v>0</v>
      </c>
      <c r="C859" t="s">
        <v>1926</v>
      </c>
      <c r="D859">
        <v>24.8</v>
      </c>
      <c r="E859">
        <v>0.020013246035783</v>
      </c>
      <c r="F859">
        <v>0.1666666666666667</v>
      </c>
      <c r="G859">
        <v>0.1846644525422441</v>
      </c>
      <c r="H859">
        <v>0.49632850168744</v>
      </c>
      <c r="I859">
        <v>1535.530713</v>
      </c>
      <c r="J859">
        <v>17.46906385437998</v>
      </c>
      <c r="K859">
        <v>0.3545203583481715</v>
      </c>
      <c r="L859">
        <v>0.772890524742411</v>
      </c>
      <c r="M859">
        <v>33.51</v>
      </c>
      <c r="N859">
        <v>19.18</v>
      </c>
    </row>
    <row r="860" spans="1:14">
      <c r="A860" s="1" t="s">
        <v>872</v>
      </c>
      <c r="B860">
        <f>HYPERLINK("https://www.suredividend.com/sure-analysis-research-database/","Intapp Inc")</f>
        <v>0</v>
      </c>
      <c r="C860" t="s">
        <v>1921</v>
      </c>
      <c r="D860">
        <v>18.69</v>
      </c>
      <c r="E860">
        <v>0</v>
      </c>
      <c r="H860">
        <v>0</v>
      </c>
      <c r="I860">
        <v>1176.983892</v>
      </c>
      <c r="J860">
        <v>0</v>
      </c>
      <c r="K860" t="s">
        <v>1921</v>
      </c>
      <c r="L860">
        <v>1.512882664682324</v>
      </c>
      <c r="M860">
        <v>32.91</v>
      </c>
      <c r="N860">
        <v>13.52</v>
      </c>
    </row>
    <row r="861" spans="1:14">
      <c r="A861" s="1" t="s">
        <v>873</v>
      </c>
      <c r="B861">
        <f>HYPERLINK("https://www.suredividend.com/sure-analysis-research-database/","Innoviva Inc")</f>
        <v>0</v>
      </c>
      <c r="C861" t="s">
        <v>1922</v>
      </c>
      <c r="D861">
        <v>12.45</v>
      </c>
      <c r="E861">
        <v>0</v>
      </c>
      <c r="H861">
        <v>0</v>
      </c>
      <c r="I861">
        <v>867.839289</v>
      </c>
      <c r="J861">
        <v>8.722441219659279</v>
      </c>
      <c r="K861">
        <v>0</v>
      </c>
      <c r="L861">
        <v>0.3997830768132961</v>
      </c>
      <c r="M861">
        <v>20.71</v>
      </c>
      <c r="N861">
        <v>11.57</v>
      </c>
    </row>
    <row r="862" spans="1:14">
      <c r="A862" s="1" t="s">
        <v>874</v>
      </c>
      <c r="B862">
        <f>HYPERLINK("https://www.suredividend.com/sure-analysis-research-database/","Identiv Inc")</f>
        <v>0</v>
      </c>
      <c r="C862" t="s">
        <v>1920</v>
      </c>
      <c r="D862">
        <v>12.5</v>
      </c>
      <c r="E862">
        <v>0</v>
      </c>
      <c r="H862">
        <v>0</v>
      </c>
      <c r="I862">
        <v>280.794538</v>
      </c>
      <c r="J862" t="s">
        <v>1921</v>
      </c>
      <c r="K862">
        <v>-0</v>
      </c>
      <c r="L862">
        <v>1.333592067714923</v>
      </c>
      <c r="M862">
        <v>29</v>
      </c>
      <c r="N862">
        <v>10.7</v>
      </c>
    </row>
    <row r="863" spans="1:14">
      <c r="A863" s="1" t="s">
        <v>875</v>
      </c>
      <c r="B863">
        <f>HYPERLINK("https://www.suredividend.com/sure-analysis-research-database/","Inozyme Pharma Inc")</f>
        <v>0</v>
      </c>
      <c r="C863" t="s">
        <v>1921</v>
      </c>
      <c r="D863">
        <v>2.47</v>
      </c>
      <c r="E863">
        <v>0</v>
      </c>
      <c r="H863">
        <v>0</v>
      </c>
      <c r="I863">
        <v>99.15981499999999</v>
      </c>
      <c r="J863">
        <v>0</v>
      </c>
      <c r="K863" t="s">
        <v>1921</v>
      </c>
      <c r="L863">
        <v>0.29458325209172</v>
      </c>
      <c r="M863">
        <v>10.75</v>
      </c>
      <c r="N863">
        <v>2.3</v>
      </c>
    </row>
    <row r="864" spans="1:14">
      <c r="A864" s="1" t="s">
        <v>876</v>
      </c>
      <c r="B864">
        <f>HYPERLINK("https://www.suredividend.com/sure-analysis-research-database/","Innospec Inc")</f>
        <v>0</v>
      </c>
      <c r="C864" t="s">
        <v>1925</v>
      </c>
      <c r="D864">
        <v>86.33</v>
      </c>
      <c r="E864">
        <v>0.014089396905979</v>
      </c>
      <c r="H864">
        <v>1.216337634893221</v>
      </c>
      <c r="I864">
        <v>2140.178886</v>
      </c>
      <c r="J864">
        <v>18.43392667028424</v>
      </c>
      <c r="K864">
        <v>0.2610166598483307</v>
      </c>
      <c r="L864">
        <v>0.714170801544698</v>
      </c>
      <c r="M864">
        <v>106.87</v>
      </c>
      <c r="N864">
        <v>80.5</v>
      </c>
    </row>
    <row r="865" spans="1:14">
      <c r="A865" s="1" t="s">
        <v>877</v>
      </c>
      <c r="B865">
        <f>HYPERLINK("https://www.suredividend.com/sure-analysis-IPAR/","Inter Parfums, Inc.")</f>
        <v>0</v>
      </c>
      <c r="C865" t="s">
        <v>1928</v>
      </c>
      <c r="D865">
        <v>75.19</v>
      </c>
      <c r="E865">
        <v>0.02659928181939088</v>
      </c>
      <c r="H865">
        <v>1.734991384838891</v>
      </c>
      <c r="I865">
        <v>2394.498108</v>
      </c>
      <c r="J865">
        <v>23.94306563824894</v>
      </c>
      <c r="K865">
        <v>0.5543103465938949</v>
      </c>
      <c r="L865">
        <v>0.9673110032550201</v>
      </c>
      <c r="M865">
        <v>106.21</v>
      </c>
      <c r="N865">
        <v>64.11</v>
      </c>
    </row>
    <row r="866" spans="1:14">
      <c r="A866" s="1" t="s">
        <v>878</v>
      </c>
      <c r="B866">
        <f>HYPERLINK("https://www.suredividend.com/sure-analysis-research-database/","Intrepid Potash Inc")</f>
        <v>0</v>
      </c>
      <c r="C866" t="s">
        <v>1925</v>
      </c>
      <c r="D866">
        <v>41.83</v>
      </c>
      <c r="E866">
        <v>0</v>
      </c>
      <c r="H866">
        <v>0</v>
      </c>
      <c r="I866">
        <v>569.347837</v>
      </c>
      <c r="J866">
        <v>2.011730293165709</v>
      </c>
      <c r="K866">
        <v>0</v>
      </c>
      <c r="L866">
        <v>1.235340719898757</v>
      </c>
      <c r="M866">
        <v>121.72</v>
      </c>
      <c r="N866">
        <v>34.38</v>
      </c>
    </row>
    <row r="867" spans="1:14">
      <c r="A867" s="1" t="s">
        <v>879</v>
      </c>
      <c r="B867">
        <f>HYPERLINK("https://www.suredividend.com/sure-analysis-research-database/","Century Therapeutics Inc")</f>
        <v>0</v>
      </c>
      <c r="C867" t="s">
        <v>1921</v>
      </c>
      <c r="D867">
        <v>9.32</v>
      </c>
      <c r="E867">
        <v>0</v>
      </c>
      <c r="H867">
        <v>0</v>
      </c>
      <c r="I867">
        <v>548.778684</v>
      </c>
      <c r="J867">
        <v>0</v>
      </c>
      <c r="K867" t="s">
        <v>1921</v>
      </c>
      <c r="L867">
        <v>1.142122620121827</v>
      </c>
      <c r="M867">
        <v>25.52</v>
      </c>
      <c r="N867">
        <v>7.32</v>
      </c>
    </row>
    <row r="868" spans="1:14">
      <c r="A868" s="1" t="s">
        <v>880</v>
      </c>
      <c r="B868">
        <f>HYPERLINK("https://www.suredividend.com/sure-analysis-research-database/","Irobot Corp")</f>
        <v>0</v>
      </c>
      <c r="C868" t="s">
        <v>1920</v>
      </c>
      <c r="D868">
        <v>56.23</v>
      </c>
      <c r="E868">
        <v>0</v>
      </c>
      <c r="H868">
        <v>0</v>
      </c>
      <c r="I868">
        <v>1531.339649</v>
      </c>
      <c r="J868" t="s">
        <v>1921</v>
      </c>
      <c r="K868">
        <v>-0</v>
      </c>
      <c r="L868">
        <v>1.182842247101602</v>
      </c>
      <c r="M868">
        <v>98.86</v>
      </c>
      <c r="N868">
        <v>35.41</v>
      </c>
    </row>
    <row r="869" spans="1:14">
      <c r="A869" s="1" t="s">
        <v>881</v>
      </c>
      <c r="B869">
        <f>HYPERLINK("https://www.suredividend.com/sure-analysis-research-database/","Iridium Communications Inc")</f>
        <v>0</v>
      </c>
      <c r="C869" t="s">
        <v>1931</v>
      </c>
      <c r="D869">
        <v>47.75</v>
      </c>
      <c r="E869">
        <v>0</v>
      </c>
      <c r="H869">
        <v>0</v>
      </c>
      <c r="I869">
        <v>6063.000526</v>
      </c>
      <c r="J869" t="s">
        <v>1921</v>
      </c>
      <c r="K869">
        <v>-0</v>
      </c>
      <c r="L869">
        <v>1.002410445291292</v>
      </c>
      <c r="M869">
        <v>48.69</v>
      </c>
      <c r="N869">
        <v>31.73</v>
      </c>
    </row>
    <row r="870" spans="1:14">
      <c r="A870" s="1" t="s">
        <v>882</v>
      </c>
      <c r="B870">
        <f>HYPERLINK("https://www.suredividend.com/sure-analysis-research-database/","Iradimed Corp")</f>
        <v>0</v>
      </c>
      <c r="C870" t="s">
        <v>1922</v>
      </c>
      <c r="D870">
        <v>27.13</v>
      </c>
      <c r="E870">
        <v>0</v>
      </c>
      <c r="H870">
        <v>0</v>
      </c>
      <c r="I870">
        <v>340.891434</v>
      </c>
      <c r="J870">
        <v>0</v>
      </c>
      <c r="K870" t="s">
        <v>1921</v>
      </c>
      <c r="L870">
        <v>1.162120108453187</v>
      </c>
      <c r="M870">
        <v>55.92</v>
      </c>
      <c r="N870">
        <v>26.86</v>
      </c>
    </row>
    <row r="871" spans="1:14">
      <c r="A871" s="1" t="s">
        <v>883</v>
      </c>
      <c r="B871">
        <f>HYPERLINK("https://www.suredividend.com/sure-analysis-IRT/","Independence Realty Trust Inc")</f>
        <v>0</v>
      </c>
      <c r="C871" t="s">
        <v>1929</v>
      </c>
      <c r="D871">
        <v>15.71</v>
      </c>
      <c r="E871">
        <v>0.03564608529598982</v>
      </c>
      <c r="F871">
        <v>5.666666666666667</v>
      </c>
      <c r="G871">
        <v>-0.04902060720441037</v>
      </c>
      <c r="H871">
        <v>0.4176530911476191</v>
      </c>
      <c r="I871">
        <v>3488.706535</v>
      </c>
      <c r="J871">
        <v>0</v>
      </c>
      <c r="K871" t="s">
        <v>1921</v>
      </c>
      <c r="L871">
        <v>0.6916536357969311</v>
      </c>
      <c r="M871">
        <v>28</v>
      </c>
      <c r="N871">
        <v>15.37</v>
      </c>
    </row>
    <row r="872" spans="1:14">
      <c r="A872" s="1" t="s">
        <v>884</v>
      </c>
      <c r="B872">
        <f>HYPERLINK("https://www.suredividend.com/sure-analysis-research-database/","iRhythm Technologies Inc")</f>
        <v>0</v>
      </c>
      <c r="C872" t="s">
        <v>1922</v>
      </c>
      <c r="D872">
        <v>120.26</v>
      </c>
      <c r="E872">
        <v>0</v>
      </c>
      <c r="H872">
        <v>0</v>
      </c>
      <c r="I872">
        <v>3610.994707</v>
      </c>
      <c r="J872" t="s">
        <v>1921</v>
      </c>
      <c r="K872">
        <v>-0</v>
      </c>
      <c r="L872">
        <v>1.739754184691862</v>
      </c>
      <c r="M872">
        <v>169.54</v>
      </c>
      <c r="N872">
        <v>65.17</v>
      </c>
    </row>
    <row r="873" spans="1:14">
      <c r="A873" s="1" t="s">
        <v>885</v>
      </c>
      <c r="B873">
        <f>HYPERLINK("https://www.suredividend.com/sure-analysis-research-database/","Ironwood Pharmaceuticals Inc")</f>
        <v>0</v>
      </c>
      <c r="C873" t="s">
        <v>1922</v>
      </c>
      <c r="D873">
        <v>9.9</v>
      </c>
      <c r="E873">
        <v>0</v>
      </c>
      <c r="H873">
        <v>0</v>
      </c>
      <c r="I873">
        <v>1516.988187</v>
      </c>
      <c r="J873">
        <v>8.763652149046795</v>
      </c>
      <c r="K873">
        <v>0</v>
      </c>
      <c r="L873">
        <v>0.493054332537821</v>
      </c>
      <c r="M873">
        <v>14.03</v>
      </c>
      <c r="N873">
        <v>9.73</v>
      </c>
    </row>
    <row r="874" spans="1:14">
      <c r="A874" s="1" t="s">
        <v>886</v>
      </c>
      <c r="B874">
        <f>HYPERLINK("https://www.suredividend.com/sure-analysis-research-database/","IVERIC bio Inc")</f>
        <v>0</v>
      </c>
      <c r="C874" t="s">
        <v>1922</v>
      </c>
      <c r="D874">
        <v>20.15</v>
      </c>
      <c r="E874">
        <v>0</v>
      </c>
      <c r="H874">
        <v>0</v>
      </c>
      <c r="I874">
        <v>2379.267952</v>
      </c>
      <c r="J874">
        <v>0</v>
      </c>
      <c r="K874" t="s">
        <v>1921</v>
      </c>
      <c r="L874">
        <v>1.51247360815328</v>
      </c>
      <c r="M874">
        <v>21.58</v>
      </c>
      <c r="N874">
        <v>8.85</v>
      </c>
    </row>
    <row r="875" spans="1:14">
      <c r="A875" s="1" t="s">
        <v>887</v>
      </c>
      <c r="B875">
        <f>HYPERLINK("https://www.suredividend.com/sure-analysis-research-database/","IsoPlexis Corp")</f>
        <v>0</v>
      </c>
      <c r="C875" t="s">
        <v>1921</v>
      </c>
      <c r="D875">
        <v>1.78</v>
      </c>
      <c r="E875">
        <v>0</v>
      </c>
      <c r="H875">
        <v>0</v>
      </c>
      <c r="I875">
        <v>69.560529</v>
      </c>
      <c r="J875">
        <v>0</v>
      </c>
      <c r="K875" t="s">
        <v>1921</v>
      </c>
      <c r="L875">
        <v>1.084656693429143</v>
      </c>
      <c r="M875">
        <v>16.95</v>
      </c>
      <c r="N875">
        <v>1.62</v>
      </c>
    </row>
    <row r="876" spans="1:14">
      <c r="A876" s="1" t="s">
        <v>888</v>
      </c>
      <c r="B876">
        <f>HYPERLINK("https://www.suredividend.com/sure-analysis-research-database/","Intra-Cellular Therapies Inc")</f>
        <v>0</v>
      </c>
      <c r="C876" t="s">
        <v>1922</v>
      </c>
      <c r="D876">
        <v>47.6</v>
      </c>
      <c r="E876">
        <v>0</v>
      </c>
      <c r="H876">
        <v>0</v>
      </c>
      <c r="I876">
        <v>4493.523062</v>
      </c>
      <c r="J876">
        <v>0</v>
      </c>
      <c r="K876" t="s">
        <v>1921</v>
      </c>
      <c r="L876">
        <v>0.7138722139364201</v>
      </c>
      <c r="M876">
        <v>66</v>
      </c>
      <c r="N876">
        <v>34.43</v>
      </c>
    </row>
    <row r="877" spans="1:14">
      <c r="A877" s="1" t="s">
        <v>889</v>
      </c>
      <c r="B877">
        <f>HYPERLINK("https://www.suredividend.com/sure-analysis-research-database/","Integer Holdings Corp")</f>
        <v>0</v>
      </c>
      <c r="C877" t="s">
        <v>1922</v>
      </c>
      <c r="D877">
        <v>51.11</v>
      </c>
      <c r="E877">
        <v>0</v>
      </c>
      <c r="H877">
        <v>0</v>
      </c>
      <c r="I877">
        <v>1692.909017</v>
      </c>
      <c r="J877">
        <v>21.6878349026365</v>
      </c>
      <c r="K877">
        <v>0</v>
      </c>
      <c r="L877">
        <v>0.995029174791169</v>
      </c>
      <c r="M877">
        <v>95.73</v>
      </c>
      <c r="N877">
        <v>50.05</v>
      </c>
    </row>
    <row r="878" spans="1:14">
      <c r="A878" s="1" t="s">
        <v>890</v>
      </c>
      <c r="B878">
        <f>HYPERLINK("https://www.suredividend.com/sure-analysis-research-database/","Iteris Inc.")</f>
        <v>0</v>
      </c>
      <c r="C878" t="s">
        <v>1920</v>
      </c>
      <c r="D878">
        <v>2.65</v>
      </c>
      <c r="E878">
        <v>0</v>
      </c>
      <c r="H878">
        <v>0</v>
      </c>
      <c r="I878">
        <v>112.83015</v>
      </c>
      <c r="J878">
        <v>0</v>
      </c>
      <c r="K878" t="s">
        <v>1921</v>
      </c>
      <c r="L878">
        <v>1.05023927295671</v>
      </c>
      <c r="M878">
        <v>5.78</v>
      </c>
      <c r="N878">
        <v>2.4</v>
      </c>
    </row>
    <row r="879" spans="1:14">
      <c r="A879" s="1" t="s">
        <v>891</v>
      </c>
      <c r="B879">
        <f>HYPERLINK("https://www.suredividend.com/sure-analysis-research-database/","Investors Title Co.")</f>
        <v>0</v>
      </c>
      <c r="C879" t="s">
        <v>1923</v>
      </c>
      <c r="D879">
        <v>133.55</v>
      </c>
      <c r="E879">
        <v>0.01371681846632</v>
      </c>
      <c r="F879">
        <v>0</v>
      </c>
      <c r="G879">
        <v>-0.4660625374039779</v>
      </c>
      <c r="H879">
        <v>1.831881106177067</v>
      </c>
      <c r="I879">
        <v>253.378405</v>
      </c>
      <c r="J879">
        <v>0</v>
      </c>
      <c r="K879" t="s">
        <v>1921</v>
      </c>
      <c r="M879">
        <v>245.43</v>
      </c>
      <c r="N879">
        <v>133.52</v>
      </c>
    </row>
    <row r="880" spans="1:14">
      <c r="A880" s="1" t="s">
        <v>892</v>
      </c>
      <c r="B880">
        <f>HYPERLINK("https://www.suredividend.com/sure-analysis-research-database/","ITeos Therapeutics Inc")</f>
        <v>0</v>
      </c>
      <c r="C880" t="s">
        <v>1921</v>
      </c>
      <c r="D880">
        <v>17.92</v>
      </c>
      <c r="E880">
        <v>0</v>
      </c>
      <c r="H880">
        <v>0</v>
      </c>
      <c r="I880">
        <v>637.509788</v>
      </c>
      <c r="J880">
        <v>0</v>
      </c>
      <c r="K880" t="s">
        <v>1921</v>
      </c>
      <c r="L880">
        <v>1.08540597159684</v>
      </c>
      <c r="M880">
        <v>52.43</v>
      </c>
      <c r="N880">
        <v>16.21</v>
      </c>
    </row>
    <row r="881" spans="1:14">
      <c r="A881" s="1" t="s">
        <v>893</v>
      </c>
      <c r="B881">
        <f>HYPERLINK("https://www.suredividend.com/sure-analysis-research-database/","Itron Inc.")</f>
        <v>0</v>
      </c>
      <c r="C881" t="s">
        <v>1920</v>
      </c>
      <c r="D881">
        <v>42.72</v>
      </c>
      <c r="E881">
        <v>0</v>
      </c>
      <c r="H881">
        <v>0</v>
      </c>
      <c r="I881">
        <v>1928.323171</v>
      </c>
      <c r="J881" t="s">
        <v>1921</v>
      </c>
      <c r="K881">
        <v>-0</v>
      </c>
      <c r="L881">
        <v>1.365953051735321</v>
      </c>
      <c r="M881">
        <v>81.36</v>
      </c>
      <c r="N881">
        <v>42.07</v>
      </c>
    </row>
    <row r="882" spans="1:14">
      <c r="A882" s="1" t="s">
        <v>894</v>
      </c>
      <c r="B882">
        <f>HYPERLINK("https://www.suredividend.com/sure-analysis-research-database/","Invacare Corp.")</f>
        <v>0</v>
      </c>
      <c r="C882" t="s">
        <v>1922</v>
      </c>
      <c r="D882">
        <v>0.75</v>
      </c>
      <c r="E882">
        <v>0</v>
      </c>
      <c r="H882">
        <v>0</v>
      </c>
      <c r="I882">
        <v>28.732886</v>
      </c>
      <c r="J882" t="s">
        <v>1921</v>
      </c>
      <c r="K882">
        <v>-0</v>
      </c>
      <c r="L882">
        <v>0.953083715977846</v>
      </c>
      <c r="M882">
        <v>5.36</v>
      </c>
      <c r="N882">
        <v>0.75</v>
      </c>
    </row>
    <row r="883" spans="1:14">
      <c r="A883" s="1" t="s">
        <v>895</v>
      </c>
      <c r="B883">
        <f>HYPERLINK("https://www.suredividend.com/sure-analysis-research-database/","Invesco Mortgage Capital Inc")</f>
        <v>0</v>
      </c>
      <c r="C883" t="s">
        <v>1929</v>
      </c>
      <c r="D883">
        <v>9.880000000000001</v>
      </c>
      <c r="E883">
        <v>0.310200493314527</v>
      </c>
      <c r="F883">
        <v>6.222222222222222</v>
      </c>
      <c r="G883">
        <v>0.09127150018383667</v>
      </c>
      <c r="H883">
        <v>3.064780873947535</v>
      </c>
      <c r="I883">
        <v>326.280262</v>
      </c>
      <c r="J883" t="s">
        <v>1921</v>
      </c>
      <c r="K883" t="s">
        <v>1921</v>
      </c>
      <c r="L883">
        <v>1.301907648368862</v>
      </c>
      <c r="M883">
        <v>28.08</v>
      </c>
      <c r="N883">
        <v>8.56</v>
      </c>
    </row>
    <row r="884" spans="1:14">
      <c r="A884" s="1" t="s">
        <v>896</v>
      </c>
      <c r="B884">
        <f>HYPERLINK("https://www.suredividend.com/sure-analysis-JACK/","Jack In The Box, Inc.")</f>
        <v>0</v>
      </c>
      <c r="C884" t="s">
        <v>1927</v>
      </c>
      <c r="D884">
        <v>74.97</v>
      </c>
      <c r="E884">
        <v>0.02347605708950247</v>
      </c>
      <c r="H884">
        <v>1.745539453849333</v>
      </c>
      <c r="I884">
        <v>1578.651462</v>
      </c>
      <c r="J884">
        <v>14.50206658028423</v>
      </c>
      <c r="K884">
        <v>0.3429350596953503</v>
      </c>
      <c r="L884">
        <v>0.8867949536213121</v>
      </c>
      <c r="M884">
        <v>103.67</v>
      </c>
      <c r="N884">
        <v>54.53</v>
      </c>
    </row>
    <row r="885" spans="1:14">
      <c r="A885" s="1" t="s">
        <v>897</v>
      </c>
      <c r="B885">
        <f>HYPERLINK("https://www.suredividend.com/sure-analysis-research-database/","Janux Therapeutics Inc")</f>
        <v>0</v>
      </c>
      <c r="C885" t="s">
        <v>1921</v>
      </c>
      <c r="D885">
        <v>13.12</v>
      </c>
      <c r="E885">
        <v>0</v>
      </c>
      <c r="H885">
        <v>0</v>
      </c>
      <c r="I885">
        <v>546.61894</v>
      </c>
      <c r="J885">
        <v>0</v>
      </c>
      <c r="K885" t="s">
        <v>1921</v>
      </c>
      <c r="L885">
        <v>1.462760659003533</v>
      </c>
      <c r="M885">
        <v>29.51</v>
      </c>
      <c r="N885">
        <v>9.390000000000001</v>
      </c>
    </row>
    <row r="886" spans="1:14">
      <c r="A886" s="1" t="s">
        <v>898</v>
      </c>
      <c r="B886">
        <f>HYPERLINK("https://www.suredividend.com/sure-analysis-research-database/","Sanfilippo (John B.) &amp; Son, Inc")</f>
        <v>0</v>
      </c>
      <c r="C886" t="s">
        <v>1928</v>
      </c>
      <c r="D886">
        <v>76.2</v>
      </c>
      <c r="E886">
        <v>0.009842519685039</v>
      </c>
      <c r="H886">
        <v>0.75</v>
      </c>
      <c r="I886">
        <v>680.424776</v>
      </c>
      <c r="J886">
        <v>11.01242617055368</v>
      </c>
      <c r="K886">
        <v>0.1407129455909944</v>
      </c>
      <c r="L886">
        <v>0.327948337592707</v>
      </c>
      <c r="M886">
        <v>90.23</v>
      </c>
      <c r="N886">
        <v>65.66</v>
      </c>
    </row>
    <row r="887" spans="1:14">
      <c r="A887" s="1" t="s">
        <v>899</v>
      </c>
      <c r="B887">
        <f>HYPERLINK("https://www.suredividend.com/sure-analysis-research-database/","John Bean Technologies Corp")</f>
        <v>0</v>
      </c>
      <c r="C887" t="s">
        <v>1924</v>
      </c>
      <c r="D887">
        <v>91.52</v>
      </c>
      <c r="E887">
        <v>0.004365031659901</v>
      </c>
      <c r="F887">
        <v>0</v>
      </c>
      <c r="G887">
        <v>0</v>
      </c>
      <c r="H887">
        <v>0.3994876975141861</v>
      </c>
      <c r="I887">
        <v>2915.980954</v>
      </c>
      <c r="J887">
        <v>24.32010803669725</v>
      </c>
      <c r="K887">
        <v>0.107969647976807</v>
      </c>
      <c r="L887">
        <v>1.265548971456541</v>
      </c>
      <c r="M887">
        <v>176.99</v>
      </c>
      <c r="N887">
        <v>81.59</v>
      </c>
    </row>
    <row r="888" spans="1:14">
      <c r="A888" s="1" t="s">
        <v>900</v>
      </c>
      <c r="B888">
        <f>HYPERLINK("https://www.suredividend.com/sure-analysis-research-database/","JELD-WEN Holding Inc.")</f>
        <v>0</v>
      </c>
      <c r="C888" t="s">
        <v>1924</v>
      </c>
      <c r="D888">
        <v>9.42</v>
      </c>
      <c r="E888">
        <v>0</v>
      </c>
      <c r="H888">
        <v>0</v>
      </c>
      <c r="I888">
        <v>793.71848</v>
      </c>
      <c r="J888">
        <v>6.204561110338088</v>
      </c>
      <c r="K888">
        <v>0</v>
      </c>
      <c r="L888">
        <v>1.407892380872033</v>
      </c>
      <c r="M888">
        <v>28.3</v>
      </c>
      <c r="N888">
        <v>8.630000000000001</v>
      </c>
    </row>
    <row r="889" spans="1:14">
      <c r="A889" s="1" t="s">
        <v>901</v>
      </c>
      <c r="B889">
        <f>HYPERLINK("https://www.suredividend.com/sure-analysis-JJSF/","J&amp;J Snack Foods Corp.")</f>
        <v>0</v>
      </c>
      <c r="C889" t="s">
        <v>1928</v>
      </c>
      <c r="D889">
        <v>133.24</v>
      </c>
      <c r="E889">
        <v>0.01906334434103872</v>
      </c>
      <c r="F889">
        <v>0.1058451816745656</v>
      </c>
      <c r="G889">
        <v>0.09238846414037294</v>
      </c>
      <c r="H889">
        <v>2.580600039239699</v>
      </c>
      <c r="I889">
        <v>2557.175523</v>
      </c>
      <c r="J889">
        <v>52.40113777131148</v>
      </c>
      <c r="K889">
        <v>1.015984267417204</v>
      </c>
      <c r="L889">
        <v>0.396065453311753</v>
      </c>
      <c r="M889">
        <v>163.45</v>
      </c>
      <c r="N889">
        <v>116.27</v>
      </c>
    </row>
    <row r="890" spans="1:14">
      <c r="A890" s="1" t="s">
        <v>902</v>
      </c>
      <c r="B890">
        <f>HYPERLINK("https://www.suredividend.com/sure-analysis-research-database/","Jounce Therapeutics Inc")</f>
        <v>0</v>
      </c>
      <c r="C890" t="s">
        <v>1922</v>
      </c>
      <c r="D890">
        <v>2.01</v>
      </c>
      <c r="E890">
        <v>0</v>
      </c>
      <c r="H890">
        <v>0</v>
      </c>
      <c r="I890">
        <v>103.905416</v>
      </c>
      <c r="J890">
        <v>0</v>
      </c>
      <c r="K890" t="s">
        <v>1921</v>
      </c>
      <c r="L890">
        <v>1.269512230966474</v>
      </c>
      <c r="M890">
        <v>9.81</v>
      </c>
      <c r="N890">
        <v>1.98</v>
      </c>
    </row>
    <row r="891" spans="1:14">
      <c r="A891" s="1" t="s">
        <v>903</v>
      </c>
      <c r="B891">
        <f>HYPERLINK("https://www.suredividend.com/sure-analysis-research-database/","JOANN Inc")</f>
        <v>0</v>
      </c>
      <c r="C891" t="s">
        <v>1921</v>
      </c>
      <c r="D891">
        <v>5.32</v>
      </c>
      <c r="E891">
        <v>0.079382872564177</v>
      </c>
      <c r="H891">
        <v>0.422316882041424</v>
      </c>
      <c r="I891">
        <v>216.986803</v>
      </c>
      <c r="J891">
        <v>0</v>
      </c>
      <c r="K891" t="s">
        <v>1921</v>
      </c>
      <c r="L891">
        <v>1.260816868321554</v>
      </c>
      <c r="M891">
        <v>13.08</v>
      </c>
      <c r="N891">
        <v>5.31</v>
      </c>
    </row>
    <row r="892" spans="1:14">
      <c r="A892" s="1" t="s">
        <v>904</v>
      </c>
      <c r="B892">
        <f>HYPERLINK("https://www.suredividend.com/sure-analysis-research-database/","St. Joe Co.")</f>
        <v>0</v>
      </c>
      <c r="C892" t="s">
        <v>1929</v>
      </c>
      <c r="D892">
        <v>32.28</v>
      </c>
      <c r="E892">
        <v>0.011735227938883</v>
      </c>
      <c r="H892">
        <v>0.378813157867145</v>
      </c>
      <c r="I892">
        <v>1901.541976</v>
      </c>
      <c r="J892">
        <v>24.50946040833162</v>
      </c>
      <c r="K892">
        <v>0.2869796650508674</v>
      </c>
      <c r="L892">
        <v>1.203833417151016</v>
      </c>
      <c r="M892">
        <v>61.93</v>
      </c>
      <c r="N892">
        <v>31.19</v>
      </c>
    </row>
    <row r="893" spans="1:14">
      <c r="A893" s="1" t="s">
        <v>905</v>
      </c>
      <c r="B893">
        <f>HYPERLINK("https://www.suredividend.com/sure-analysis-research-database/","Johnson Outdoors Inc")</f>
        <v>0</v>
      </c>
      <c r="C893" t="s">
        <v>1927</v>
      </c>
      <c r="D893">
        <v>48.97</v>
      </c>
      <c r="E893">
        <v>0.024351327546443</v>
      </c>
      <c r="F893">
        <v>0.4285714285714288</v>
      </c>
      <c r="G893">
        <v>0.97435048583482</v>
      </c>
      <c r="H893">
        <v>1.192484509949338</v>
      </c>
      <c r="I893">
        <v>439.030741</v>
      </c>
      <c r="J893">
        <v>10.5933486391275</v>
      </c>
      <c r="K893">
        <v>0.2922756151836612</v>
      </c>
      <c r="L893">
        <v>0.9828364547775621</v>
      </c>
      <c r="M893">
        <v>116.6</v>
      </c>
      <c r="N893">
        <v>47.84</v>
      </c>
    </row>
    <row r="894" spans="1:14">
      <c r="A894" s="1" t="s">
        <v>906</v>
      </c>
      <c r="B894">
        <f>HYPERLINK("https://www.suredividend.com/sure-analysis-research-database/","James River Group Holdings Ltd")</f>
        <v>0</v>
      </c>
      <c r="C894" t="s">
        <v>1923</v>
      </c>
      <c r="D894">
        <v>22.5</v>
      </c>
      <c r="E894">
        <v>0.019901100390996</v>
      </c>
      <c r="F894">
        <v>-0.8333333333333334</v>
      </c>
      <c r="G894">
        <v>-0.3690426555198068</v>
      </c>
      <c r="H894">
        <v>0.447774758797426</v>
      </c>
      <c r="I894">
        <v>842.634855</v>
      </c>
      <c r="J894" t="s">
        <v>1921</v>
      </c>
      <c r="K894" t="s">
        <v>1921</v>
      </c>
      <c r="L894">
        <v>0.6093302119182701</v>
      </c>
      <c r="M894">
        <v>38.85</v>
      </c>
      <c r="N894">
        <v>19.63</v>
      </c>
    </row>
    <row r="895" spans="1:14">
      <c r="A895" s="1" t="s">
        <v>907</v>
      </c>
      <c r="B895">
        <f>HYPERLINK("https://www.suredividend.com/sure-analysis-research-database/","Joint Corp")</f>
        <v>0</v>
      </c>
      <c r="C895" t="s">
        <v>1922</v>
      </c>
      <c r="D895">
        <v>15.37</v>
      </c>
      <c r="E895">
        <v>0</v>
      </c>
      <c r="H895">
        <v>0</v>
      </c>
      <c r="I895">
        <v>222.270673</v>
      </c>
      <c r="J895">
        <v>0</v>
      </c>
      <c r="K895" t="s">
        <v>1921</v>
      </c>
      <c r="L895">
        <v>1.75862003814502</v>
      </c>
      <c r="M895">
        <v>103.3</v>
      </c>
      <c r="N895">
        <v>13.1</v>
      </c>
    </row>
    <row r="896" spans="1:14">
      <c r="A896" s="1" t="s">
        <v>908</v>
      </c>
      <c r="B896">
        <f>HYPERLINK("https://www.suredividend.com/sure-analysis-research-database/","Kadant, Inc.")</f>
        <v>0</v>
      </c>
      <c r="C896" t="s">
        <v>1924</v>
      </c>
      <c r="D896">
        <v>164.93</v>
      </c>
      <c r="E896">
        <v>0.006171922279052</v>
      </c>
      <c r="F896">
        <v>0.04000000000000004</v>
      </c>
      <c r="G896">
        <v>0.04364022715043592</v>
      </c>
      <c r="H896">
        <v>1.017935141484142</v>
      </c>
      <c r="I896">
        <v>1923.41366</v>
      </c>
      <c r="J896">
        <v>17.17640346490445</v>
      </c>
      <c r="K896">
        <v>0.1061454787783255</v>
      </c>
      <c r="L896">
        <v>0.937927007259003</v>
      </c>
      <c r="M896">
        <v>239.53</v>
      </c>
      <c r="N896">
        <v>155.24</v>
      </c>
    </row>
    <row r="897" spans="1:14">
      <c r="A897" s="1" t="s">
        <v>909</v>
      </c>
      <c r="B897">
        <f>HYPERLINK("https://www.suredividend.com/sure-analysis-research-database/","Kala Pharmaceuticals Inc")</f>
        <v>0</v>
      </c>
      <c r="C897" t="s">
        <v>1922</v>
      </c>
      <c r="D897">
        <v>0.2413</v>
      </c>
      <c r="E897">
        <v>0</v>
      </c>
      <c r="H897">
        <v>0</v>
      </c>
      <c r="I897">
        <v>17.665124</v>
      </c>
      <c r="J897">
        <v>0</v>
      </c>
      <c r="K897" t="s">
        <v>1921</v>
      </c>
      <c r="L897">
        <v>0.9945153205647391</v>
      </c>
      <c r="M897">
        <v>2.51</v>
      </c>
      <c r="N897">
        <v>0.211</v>
      </c>
    </row>
    <row r="898" spans="1:14">
      <c r="A898" s="1" t="s">
        <v>910</v>
      </c>
      <c r="B898">
        <f>HYPERLINK("https://www.suredividend.com/sure-analysis-research-database/","Kaiser Aluminum Corp")</f>
        <v>0</v>
      </c>
      <c r="C898" t="s">
        <v>1925</v>
      </c>
      <c r="D898">
        <v>69.65000000000001</v>
      </c>
      <c r="E898">
        <v>0.042920284783807</v>
      </c>
      <c r="F898">
        <v>0.06944444444444442</v>
      </c>
      <c r="G898">
        <v>0.09019489529987834</v>
      </c>
      <c r="H898">
        <v>2.989397835192203</v>
      </c>
      <c r="I898">
        <v>1110.261397</v>
      </c>
      <c r="J898" t="s">
        <v>1921</v>
      </c>
      <c r="K898" t="s">
        <v>1921</v>
      </c>
      <c r="L898">
        <v>1.122932657433295</v>
      </c>
      <c r="M898">
        <v>115.43</v>
      </c>
      <c r="N898">
        <v>59.24</v>
      </c>
    </row>
    <row r="899" spans="1:14">
      <c r="A899" s="1" t="s">
        <v>911</v>
      </c>
      <c r="B899">
        <f>HYPERLINK("https://www.suredividend.com/sure-analysis-research-database/","KalVista Pharmaceuticals Inc")</f>
        <v>0</v>
      </c>
      <c r="C899" t="s">
        <v>1922</v>
      </c>
      <c r="D899">
        <v>4.69</v>
      </c>
      <c r="E899">
        <v>0</v>
      </c>
      <c r="H899">
        <v>0</v>
      </c>
      <c r="I899">
        <v>115.383488</v>
      </c>
      <c r="J899" t="s">
        <v>1921</v>
      </c>
      <c r="K899">
        <v>-0</v>
      </c>
      <c r="L899">
        <v>0.671441526377894</v>
      </c>
      <c r="M899">
        <v>18.53</v>
      </c>
      <c r="N899">
        <v>4.52</v>
      </c>
    </row>
    <row r="900" spans="1:14">
      <c r="A900" s="1" t="s">
        <v>912</v>
      </c>
      <c r="B900">
        <f>HYPERLINK("https://www.suredividend.com/sure-analysis-research-database/","Kaman Corp.")</f>
        <v>0</v>
      </c>
      <c r="C900" t="s">
        <v>1924</v>
      </c>
      <c r="D900">
        <v>28.6</v>
      </c>
      <c r="E900">
        <v>0.027715687711885</v>
      </c>
      <c r="F900">
        <v>0</v>
      </c>
      <c r="G900">
        <v>0</v>
      </c>
      <c r="H900">
        <v>0.792668668559933</v>
      </c>
      <c r="I900">
        <v>800.1567</v>
      </c>
      <c r="J900">
        <v>25.06128477198697</v>
      </c>
      <c r="K900">
        <v>0.6953233934736254</v>
      </c>
      <c r="L900">
        <v>0.8672255834441021</v>
      </c>
      <c r="M900">
        <v>45.91</v>
      </c>
      <c r="N900">
        <v>27.73</v>
      </c>
    </row>
    <row r="901" spans="1:14">
      <c r="A901" s="1" t="s">
        <v>913</v>
      </c>
      <c r="B901">
        <f>HYPERLINK("https://www.suredividend.com/sure-analysis-research-database/","KAR Auction Services Inc")</f>
        <v>0</v>
      </c>
      <c r="C901" t="s">
        <v>1927</v>
      </c>
      <c r="D901">
        <v>12.44</v>
      </c>
      <c r="E901">
        <v>0</v>
      </c>
      <c r="H901">
        <v>0</v>
      </c>
      <c r="I901">
        <v>1440.929902</v>
      </c>
      <c r="J901" t="s">
        <v>1921</v>
      </c>
      <c r="K901">
        <v>-0</v>
      </c>
      <c r="L901">
        <v>1.13448790307942</v>
      </c>
      <c r="M901">
        <v>22.1</v>
      </c>
      <c r="N901">
        <v>11.15</v>
      </c>
    </row>
    <row r="902" spans="1:14">
      <c r="A902" s="1" t="s">
        <v>914</v>
      </c>
      <c r="B902">
        <f>HYPERLINK("https://www.suredividend.com/sure-analysis-research-database/","Kimball International, Inc.")</f>
        <v>0</v>
      </c>
      <c r="C902" t="s">
        <v>1927</v>
      </c>
      <c r="D902">
        <v>6.35</v>
      </c>
      <c r="E902">
        <v>0.05567001837062101</v>
      </c>
      <c r="F902">
        <v>0</v>
      </c>
      <c r="G902">
        <v>0.05154749679728043</v>
      </c>
      <c r="H902">
        <v>0.353504616653446</v>
      </c>
      <c r="I902">
        <v>232.405485</v>
      </c>
      <c r="J902" t="s">
        <v>1921</v>
      </c>
      <c r="K902" t="s">
        <v>1921</v>
      </c>
      <c r="L902">
        <v>0.90817083830359</v>
      </c>
      <c r="M902">
        <v>11.29</v>
      </c>
      <c r="N902">
        <v>6.29</v>
      </c>
    </row>
    <row r="903" spans="1:14">
      <c r="A903" s="1" t="s">
        <v>915</v>
      </c>
      <c r="B903">
        <f>HYPERLINK("https://www.suredividend.com/sure-analysis-research-database/","KB Home")</f>
        <v>0</v>
      </c>
      <c r="C903" t="s">
        <v>1927</v>
      </c>
      <c r="D903">
        <v>27.74</v>
      </c>
      <c r="E903">
        <v>0.021483411118223</v>
      </c>
      <c r="F903">
        <v>0</v>
      </c>
      <c r="G903">
        <v>0.4309690811052556</v>
      </c>
      <c r="H903">
        <v>0.595949824419527</v>
      </c>
      <c r="I903">
        <v>2374.106207</v>
      </c>
      <c r="J903">
        <v>3.567868688047874</v>
      </c>
      <c r="K903">
        <v>0.08186123961806689</v>
      </c>
      <c r="L903">
        <v>1.325591270731239</v>
      </c>
      <c r="M903">
        <v>49.55</v>
      </c>
      <c r="N903">
        <v>24.66</v>
      </c>
    </row>
    <row r="904" spans="1:14">
      <c r="A904" s="1" t="s">
        <v>916</v>
      </c>
      <c r="B904">
        <f>HYPERLINK("https://www.suredividend.com/sure-analysis-research-database/","KBR Inc")</f>
        <v>0</v>
      </c>
      <c r="C904" t="s">
        <v>1924</v>
      </c>
      <c r="D904">
        <v>45.82</v>
      </c>
      <c r="E904">
        <v>0.010220995712984</v>
      </c>
      <c r="F904">
        <v>0.09090909090909083</v>
      </c>
      <c r="G904">
        <v>0.08447177119769855</v>
      </c>
      <c r="H904">
        <v>0.468326023568942</v>
      </c>
      <c r="I904">
        <v>6394.6403</v>
      </c>
      <c r="J904">
        <v>43.79890616219178</v>
      </c>
      <c r="K904">
        <v>0.4739182590254422</v>
      </c>
      <c r="L904">
        <v>0.7021287674822051</v>
      </c>
      <c r="M904">
        <v>56.65</v>
      </c>
      <c r="N904">
        <v>40.37</v>
      </c>
    </row>
    <row r="905" spans="1:14">
      <c r="A905" s="1" t="s">
        <v>917</v>
      </c>
      <c r="B905">
        <f>HYPERLINK("https://www.suredividend.com/sure-analysis-research-database/","Chinook Therapeutics Inc")</f>
        <v>0</v>
      </c>
      <c r="C905" t="s">
        <v>1921</v>
      </c>
      <c r="D905">
        <v>18.63</v>
      </c>
      <c r="E905">
        <v>0</v>
      </c>
      <c r="H905">
        <v>0</v>
      </c>
      <c r="I905">
        <v>1027.952205</v>
      </c>
      <c r="J905">
        <v>0</v>
      </c>
      <c r="K905" t="s">
        <v>1921</v>
      </c>
      <c r="L905">
        <v>1.16445844148201</v>
      </c>
      <c r="M905">
        <v>23.86</v>
      </c>
      <c r="N905">
        <v>10.48</v>
      </c>
    </row>
    <row r="906" spans="1:14">
      <c r="A906" s="1" t="s">
        <v>918</v>
      </c>
      <c r="B906">
        <f>HYPERLINK("https://www.suredividend.com/sure-analysis-research-database/","Kimball Electronics Inc")</f>
        <v>0</v>
      </c>
      <c r="C906" t="s">
        <v>1924</v>
      </c>
      <c r="D906">
        <v>17.53</v>
      </c>
      <c r="E906">
        <v>0</v>
      </c>
      <c r="H906">
        <v>0</v>
      </c>
      <c r="I906">
        <v>433.172102</v>
      </c>
      <c r="J906">
        <v>0</v>
      </c>
      <c r="K906" t="s">
        <v>1921</v>
      </c>
      <c r="L906">
        <v>0.7606289616268571</v>
      </c>
      <c r="M906">
        <v>30.61</v>
      </c>
      <c r="N906">
        <v>16.66</v>
      </c>
    </row>
    <row r="907" spans="1:14">
      <c r="A907" s="1" t="s">
        <v>919</v>
      </c>
      <c r="B907">
        <f>HYPERLINK("https://www.suredividend.com/sure-analysis-research-database/","Kelly Services, Inc.")</f>
        <v>0</v>
      </c>
      <c r="C907" t="s">
        <v>1924</v>
      </c>
      <c r="D907">
        <v>14.12</v>
      </c>
      <c r="E907">
        <v>0.017617816556327</v>
      </c>
      <c r="H907">
        <v>0.24876356977534</v>
      </c>
      <c r="I907">
        <v>536.869548</v>
      </c>
      <c r="J907">
        <v>8.932937562728785</v>
      </c>
      <c r="K907">
        <v>0.1615347855684026</v>
      </c>
      <c r="L907">
        <v>0.9338600897866951</v>
      </c>
      <c r="M907">
        <v>22.81</v>
      </c>
      <c r="N907">
        <v>13.41</v>
      </c>
    </row>
    <row r="908" spans="1:14">
      <c r="A908" s="1" t="s">
        <v>920</v>
      </c>
      <c r="B908">
        <f>HYPERLINK("https://www.suredividend.com/sure-analysis-research-database/","Kforce Inc.")</f>
        <v>0</v>
      </c>
      <c r="C908" t="s">
        <v>1924</v>
      </c>
      <c r="D908">
        <v>60.52</v>
      </c>
      <c r="E908">
        <v>0.019037991519447</v>
      </c>
      <c r="F908">
        <v>0.153846153846154</v>
      </c>
      <c r="G908">
        <v>0.2011244339814313</v>
      </c>
      <c r="H908">
        <v>1.152179246756939</v>
      </c>
      <c r="I908">
        <v>1281.574304</v>
      </c>
      <c r="J908">
        <v>14.76042964491794</v>
      </c>
      <c r="K908">
        <v>0.277633553435407</v>
      </c>
      <c r="L908">
        <v>0.92742025046582</v>
      </c>
      <c r="M908">
        <v>80.08</v>
      </c>
      <c r="N908">
        <v>54.07</v>
      </c>
    </row>
    <row r="909" spans="1:14">
      <c r="A909" s="1" t="s">
        <v>921</v>
      </c>
      <c r="B909">
        <f>HYPERLINK("https://www.suredividend.com/sure-analysis-research-database/","Korn Ferry")</f>
        <v>0</v>
      </c>
      <c r="C909" t="s">
        <v>1924</v>
      </c>
      <c r="D909">
        <v>50.32</v>
      </c>
      <c r="E909">
        <v>0.010698750473069</v>
      </c>
      <c r="F909">
        <v>0.25</v>
      </c>
      <c r="G909">
        <v>0.08447177119769855</v>
      </c>
      <c r="H909">
        <v>0.538361123804835</v>
      </c>
      <c r="I909">
        <v>2686.076065</v>
      </c>
      <c r="J909">
        <v>8.349811978501242</v>
      </c>
      <c r="K909">
        <v>0.08883846927472526</v>
      </c>
      <c r="L909">
        <v>1.053780565610021</v>
      </c>
      <c r="M909">
        <v>83.97</v>
      </c>
      <c r="N909">
        <v>46.47</v>
      </c>
    </row>
    <row r="910" spans="1:14">
      <c r="A910" s="1" t="s">
        <v>922</v>
      </c>
      <c r="B910">
        <f>HYPERLINK("https://www.suredividend.com/sure-analysis-research-database/","OrthoPediatrics corp")</f>
        <v>0</v>
      </c>
      <c r="C910" t="s">
        <v>1922</v>
      </c>
      <c r="D910">
        <v>42.9</v>
      </c>
      <c r="E910">
        <v>0</v>
      </c>
      <c r="H910">
        <v>0</v>
      </c>
      <c r="I910">
        <v>915.062148</v>
      </c>
      <c r="J910" t="s">
        <v>1921</v>
      </c>
      <c r="K910">
        <v>-0</v>
      </c>
      <c r="L910">
        <v>1.296881156840654</v>
      </c>
      <c r="M910">
        <v>73.91</v>
      </c>
      <c r="N910">
        <v>36.71</v>
      </c>
    </row>
    <row r="911" spans="1:14">
      <c r="A911" s="1" t="s">
        <v>923</v>
      </c>
      <c r="B911">
        <f>HYPERLINK("https://www.suredividend.com/sure-analysis-research-database/","Kirkland`s Inc")</f>
        <v>0</v>
      </c>
      <c r="C911" t="s">
        <v>1927</v>
      </c>
      <c r="D911">
        <v>3.59</v>
      </c>
      <c r="E911">
        <v>0</v>
      </c>
      <c r="H911">
        <v>0</v>
      </c>
      <c r="I911">
        <v>45.788181</v>
      </c>
      <c r="J911" t="s">
        <v>1921</v>
      </c>
      <c r="K911">
        <v>-0</v>
      </c>
      <c r="L911">
        <v>1.587357590033822</v>
      </c>
      <c r="M911">
        <v>27.22</v>
      </c>
      <c r="N911">
        <v>2.98</v>
      </c>
    </row>
    <row r="912" spans="1:14">
      <c r="A912" s="1" t="s">
        <v>924</v>
      </c>
      <c r="B912">
        <f>HYPERLINK("https://www.suredividend.com/sure-analysis-research-database/","Kaleido Biosciences Inc")</f>
        <v>0</v>
      </c>
      <c r="C912" t="s">
        <v>1922</v>
      </c>
      <c r="D912">
        <v>0.29</v>
      </c>
      <c r="E912">
        <v>0</v>
      </c>
      <c r="H912">
        <v>0</v>
      </c>
      <c r="I912">
        <v>0</v>
      </c>
      <c r="J912">
        <v>0</v>
      </c>
      <c r="K912" t="s">
        <v>1921</v>
      </c>
    </row>
    <row r="913" spans="1:14">
      <c r="A913" s="1" t="s">
        <v>925</v>
      </c>
      <c r="B913">
        <f>HYPERLINK("https://www.suredividend.com/sure-analysis-KLIC/","Kulicke &amp; Soffa Industries, Inc.")</f>
        <v>0</v>
      </c>
      <c r="C913" t="s">
        <v>1920</v>
      </c>
      <c r="D913">
        <v>39.86</v>
      </c>
      <c r="E913">
        <v>0.01705970898143502</v>
      </c>
      <c r="H913">
        <v>0.676087985099293</v>
      </c>
      <c r="I913">
        <v>2314.588288</v>
      </c>
      <c r="J913">
        <v>4.607493710000737</v>
      </c>
      <c r="K913">
        <v>0.08419526589032292</v>
      </c>
      <c r="L913">
        <v>1.564790697859469</v>
      </c>
      <c r="M913">
        <v>72.44</v>
      </c>
      <c r="N913">
        <v>37.2</v>
      </c>
    </row>
    <row r="914" spans="1:14">
      <c r="A914" s="1" t="s">
        <v>926</v>
      </c>
      <c r="B914">
        <f>HYPERLINK("https://www.suredividend.com/sure-analysis-research-database/","Kaltura Inc")</f>
        <v>0</v>
      </c>
      <c r="C914" t="s">
        <v>1921</v>
      </c>
      <c r="D914">
        <v>1.99</v>
      </c>
      <c r="E914">
        <v>0</v>
      </c>
      <c r="H914">
        <v>0</v>
      </c>
      <c r="I914">
        <v>261.138488</v>
      </c>
      <c r="J914">
        <v>0</v>
      </c>
      <c r="K914" t="s">
        <v>1921</v>
      </c>
      <c r="L914">
        <v>1.306162942086613</v>
      </c>
      <c r="M914">
        <v>10.74</v>
      </c>
      <c r="N914">
        <v>1.32</v>
      </c>
    </row>
    <row r="915" spans="1:14">
      <c r="A915" s="1" t="s">
        <v>927</v>
      </c>
      <c r="B915">
        <f>HYPERLINK("https://www.suredividend.com/sure-analysis-research-database/","KemPharm Inc")</f>
        <v>0</v>
      </c>
      <c r="C915" t="s">
        <v>1922</v>
      </c>
      <c r="D915">
        <v>5.84</v>
      </c>
      <c r="E915">
        <v>0</v>
      </c>
      <c r="H915">
        <v>0</v>
      </c>
      <c r="I915">
        <v>201.442823</v>
      </c>
      <c r="J915">
        <v>0</v>
      </c>
      <c r="K915" t="s">
        <v>1921</v>
      </c>
      <c r="L915">
        <v>1.078037892933516</v>
      </c>
      <c r="M915">
        <v>10.8</v>
      </c>
      <c r="N915">
        <v>4</v>
      </c>
    </row>
    <row r="916" spans="1:14">
      <c r="A916" s="1" t="s">
        <v>928</v>
      </c>
      <c r="B916">
        <f>HYPERLINK("https://www.suredividend.com/sure-analysis-research-database/","Kennametal Inc.")</f>
        <v>0</v>
      </c>
      <c r="C916" t="s">
        <v>1924</v>
      </c>
      <c r="D916">
        <v>22.26</v>
      </c>
      <c r="E916">
        <v>0.03554240819737</v>
      </c>
      <c r="F916">
        <v>0</v>
      </c>
      <c r="G916">
        <v>0</v>
      </c>
      <c r="H916">
        <v>0.791174006473472</v>
      </c>
      <c r="I916">
        <v>1813.937171</v>
      </c>
      <c r="J916">
        <v>12.5425220809968</v>
      </c>
      <c r="K916">
        <v>0.4599848874845768</v>
      </c>
      <c r="L916">
        <v>1.100458812735658</v>
      </c>
      <c r="M916">
        <v>40.13</v>
      </c>
      <c r="N916">
        <v>20.21</v>
      </c>
    </row>
    <row r="917" spans="1:14">
      <c r="A917" s="1" t="s">
        <v>929</v>
      </c>
      <c r="B917">
        <f>HYPERLINK("https://www.suredividend.com/sure-analysis-research-database/","Knowles Corp")</f>
        <v>0</v>
      </c>
      <c r="C917" t="s">
        <v>1920</v>
      </c>
      <c r="D917">
        <v>12.29</v>
      </c>
      <c r="E917">
        <v>0</v>
      </c>
      <c r="H917">
        <v>0</v>
      </c>
      <c r="I917">
        <v>1127.663174</v>
      </c>
      <c r="J917" t="s">
        <v>1921</v>
      </c>
      <c r="K917">
        <v>-0</v>
      </c>
      <c r="L917">
        <v>0.778267520165693</v>
      </c>
      <c r="M917">
        <v>23.81</v>
      </c>
      <c r="N917">
        <v>11.99</v>
      </c>
    </row>
    <row r="918" spans="1:14">
      <c r="A918" s="1" t="s">
        <v>930</v>
      </c>
      <c r="B918">
        <f>HYPERLINK("https://www.suredividend.com/sure-analysis-research-database/","Kiniksa Pharmaceuticals Ltd")</f>
        <v>0</v>
      </c>
      <c r="C918" t="s">
        <v>1922</v>
      </c>
      <c r="D918">
        <v>13.99</v>
      </c>
      <c r="E918">
        <v>0</v>
      </c>
      <c r="H918">
        <v>0</v>
      </c>
      <c r="I918">
        <v>482.24119</v>
      </c>
      <c r="J918">
        <v>0</v>
      </c>
      <c r="K918" t="s">
        <v>1921</v>
      </c>
      <c r="L918">
        <v>1.118751956297291</v>
      </c>
      <c r="M918">
        <v>15.25</v>
      </c>
      <c r="N918">
        <v>7.36</v>
      </c>
    </row>
    <row r="919" spans="1:14">
      <c r="A919" s="1" t="s">
        <v>931</v>
      </c>
      <c r="B919">
        <f>HYPERLINK("https://www.suredividend.com/sure-analysis-research-database/","Kinsale Capital Group Inc")</f>
        <v>0</v>
      </c>
      <c r="C919" t="s">
        <v>1923</v>
      </c>
      <c r="D919">
        <v>271.95</v>
      </c>
      <c r="E919">
        <v>0.000403795310631</v>
      </c>
      <c r="F919">
        <v>0.1818181818181819</v>
      </c>
      <c r="G919">
        <v>0.1672353193296932</v>
      </c>
      <c r="H919">
        <v>0.109812134726186</v>
      </c>
      <c r="I919">
        <v>6228.690586</v>
      </c>
      <c r="J919">
        <v>43.30712517625464</v>
      </c>
      <c r="K919">
        <v>0.01762634586295121</v>
      </c>
      <c r="L919">
        <v>0.861057203260931</v>
      </c>
      <c r="M919">
        <v>285.12</v>
      </c>
      <c r="N919">
        <v>160.4</v>
      </c>
    </row>
    <row r="920" spans="1:14">
      <c r="A920" s="1" t="s">
        <v>932</v>
      </c>
      <c r="B920">
        <f>HYPERLINK("https://www.suredividend.com/sure-analysis-research-database/","Kinnate Biopharma Inc")</f>
        <v>0</v>
      </c>
      <c r="C920" t="s">
        <v>1921</v>
      </c>
      <c r="D920">
        <v>11.14</v>
      </c>
      <c r="E920">
        <v>0</v>
      </c>
      <c r="H920">
        <v>0</v>
      </c>
      <c r="I920">
        <v>491.78175</v>
      </c>
      <c r="J920">
        <v>0</v>
      </c>
      <c r="K920" t="s">
        <v>1921</v>
      </c>
      <c r="L920">
        <v>1.466106348510428</v>
      </c>
      <c r="M920">
        <v>26.05</v>
      </c>
      <c r="N920">
        <v>7.18</v>
      </c>
    </row>
    <row r="921" spans="1:14">
      <c r="A921" s="1" t="s">
        <v>933</v>
      </c>
      <c r="B921">
        <f>HYPERLINK("https://www.suredividend.com/sure-analysis-research-database/","Kinetik Holdings Inc")</f>
        <v>0</v>
      </c>
      <c r="C921" t="s">
        <v>1921</v>
      </c>
      <c r="D921">
        <v>34.64</v>
      </c>
      <c r="E921">
        <v>0.086200824923281</v>
      </c>
      <c r="H921">
        <v>2.985996575342465</v>
      </c>
      <c r="I921">
        <v>1404.671225</v>
      </c>
      <c r="J921">
        <v>0</v>
      </c>
      <c r="K921" t="s">
        <v>1921</v>
      </c>
      <c r="L921">
        <v>0.8235151892548581</v>
      </c>
      <c r="M921">
        <v>89.01000000000001</v>
      </c>
      <c r="N921">
        <v>27.93</v>
      </c>
    </row>
    <row r="922" spans="1:14">
      <c r="A922" s="1" t="s">
        <v>934</v>
      </c>
      <c r="B922">
        <f>HYPERLINK("https://www.suredividend.com/sure-analysis-research-database/","Kodiak Sciences Inc")</f>
        <v>0</v>
      </c>
      <c r="C922" t="s">
        <v>1922</v>
      </c>
      <c r="D922">
        <v>7.02</v>
      </c>
      <c r="E922">
        <v>0</v>
      </c>
      <c r="H922">
        <v>0</v>
      </c>
      <c r="I922">
        <v>365.322527</v>
      </c>
      <c r="J922">
        <v>0</v>
      </c>
      <c r="K922" t="s">
        <v>1921</v>
      </c>
      <c r="L922">
        <v>1.966008867179179</v>
      </c>
      <c r="M922">
        <v>131.97</v>
      </c>
      <c r="N922">
        <v>4.9</v>
      </c>
    </row>
    <row r="923" spans="1:14">
      <c r="A923" s="1" t="s">
        <v>935</v>
      </c>
      <c r="B923">
        <f>HYPERLINK("https://www.suredividend.com/sure-analysis-research-database/","Eastman Kodak Co.")</f>
        <v>0</v>
      </c>
      <c r="C923" t="s">
        <v>1924</v>
      </c>
      <c r="D923">
        <v>4.55</v>
      </c>
      <c r="E923">
        <v>0</v>
      </c>
      <c r="H923">
        <v>0</v>
      </c>
      <c r="I923">
        <v>359.622586</v>
      </c>
      <c r="J923">
        <v>0</v>
      </c>
      <c r="K923" t="s">
        <v>1921</v>
      </c>
      <c r="L923">
        <v>1.681791292103001</v>
      </c>
      <c r="M923">
        <v>7.83</v>
      </c>
      <c r="N923">
        <v>3.46</v>
      </c>
    </row>
    <row r="924" spans="1:14">
      <c r="A924" s="1" t="s">
        <v>936</v>
      </c>
      <c r="B924">
        <f>HYPERLINK("https://www.suredividend.com/sure-analysis-research-database/","Koppers Holdings Inc")</f>
        <v>0</v>
      </c>
      <c r="C924" t="s">
        <v>1925</v>
      </c>
      <c r="D924">
        <v>22.44</v>
      </c>
      <c r="E924">
        <v>0.006671145450220001</v>
      </c>
      <c r="H924">
        <v>0.149700503902952</v>
      </c>
      <c r="I924">
        <v>468.930341</v>
      </c>
      <c r="J924">
        <v>7.455172345945946</v>
      </c>
      <c r="K924">
        <v>0.05162086341481104</v>
      </c>
      <c r="L924">
        <v>0.9881152604754411</v>
      </c>
      <c r="M924">
        <v>37.23</v>
      </c>
      <c r="N924">
        <v>20.11</v>
      </c>
    </row>
    <row r="925" spans="1:14">
      <c r="A925" s="1" t="s">
        <v>937</v>
      </c>
      <c r="B925">
        <f>HYPERLINK("https://www.suredividend.com/sure-analysis-research-database/","Kopin Corp.")</f>
        <v>0</v>
      </c>
      <c r="C925" t="s">
        <v>1920</v>
      </c>
      <c r="D925">
        <v>1.02</v>
      </c>
      <c r="E925">
        <v>0</v>
      </c>
      <c r="H925">
        <v>0</v>
      </c>
      <c r="I925">
        <v>95.510107</v>
      </c>
      <c r="J925" t="s">
        <v>1921</v>
      </c>
      <c r="K925">
        <v>-0</v>
      </c>
      <c r="L925">
        <v>1.904413103019722</v>
      </c>
      <c r="M925">
        <v>7.02</v>
      </c>
      <c r="N925">
        <v>1</v>
      </c>
    </row>
    <row r="926" spans="1:14">
      <c r="A926" s="1" t="s">
        <v>938</v>
      </c>
      <c r="B926">
        <f>HYPERLINK("https://www.suredividend.com/sure-analysis-research-database/","Kosmos Energy Ltd")</f>
        <v>0</v>
      </c>
      <c r="C926" t="s">
        <v>1926</v>
      </c>
      <c r="D926">
        <v>5.87</v>
      </c>
      <c r="E926">
        <v>0</v>
      </c>
      <c r="H926">
        <v>0</v>
      </c>
      <c r="I926">
        <v>2675.788167</v>
      </c>
      <c r="J926">
        <v>14.18071866772306</v>
      </c>
      <c r="K926">
        <v>0</v>
      </c>
      <c r="L926">
        <v>1.089322830183678</v>
      </c>
      <c r="M926">
        <v>8.49</v>
      </c>
      <c r="N926">
        <v>3.02</v>
      </c>
    </row>
    <row r="927" spans="1:14">
      <c r="A927" s="1" t="s">
        <v>939</v>
      </c>
      <c r="B927">
        <f>HYPERLINK("https://www.suredividend.com/sure-analysis-research-database/","Karyopharm Therapeutics Inc")</f>
        <v>0</v>
      </c>
      <c r="C927" t="s">
        <v>1922</v>
      </c>
      <c r="D927">
        <v>5.1</v>
      </c>
      <c r="E927">
        <v>0</v>
      </c>
      <c r="H927">
        <v>0</v>
      </c>
      <c r="I927">
        <v>407.013742</v>
      </c>
      <c r="J927">
        <v>0</v>
      </c>
      <c r="K927" t="s">
        <v>1921</v>
      </c>
      <c r="L927">
        <v>1.601233111064633</v>
      </c>
      <c r="M927">
        <v>14.73</v>
      </c>
      <c r="N927">
        <v>4</v>
      </c>
    </row>
    <row r="928" spans="1:14">
      <c r="A928" s="1" t="s">
        <v>940</v>
      </c>
      <c r="B928">
        <f>HYPERLINK("https://www.suredividend.com/sure-analysis-KREF/","KKR Real Estate Finance Trust Inc")</f>
        <v>0</v>
      </c>
      <c r="C928" t="s">
        <v>1929</v>
      </c>
      <c r="D928">
        <v>16.43</v>
      </c>
      <c r="E928">
        <v>0.1046865489957395</v>
      </c>
      <c r="F928">
        <v>0</v>
      </c>
      <c r="G928">
        <v>0.03051269507716325</v>
      </c>
      <c r="H928">
        <v>1.660023743359206</v>
      </c>
      <c r="I928">
        <v>1137.821664</v>
      </c>
      <c r="J928">
        <v>9.777032092595617</v>
      </c>
      <c r="K928">
        <v>0.9021868170430468</v>
      </c>
      <c r="L928">
        <v>0.655731466192076</v>
      </c>
      <c r="M928">
        <v>21.39</v>
      </c>
      <c r="N928">
        <v>15.68</v>
      </c>
    </row>
    <row r="929" spans="1:14">
      <c r="A929" s="1" t="s">
        <v>941</v>
      </c>
      <c r="B929">
        <f>HYPERLINK("https://www.suredividend.com/sure-analysis-KRG/","Kite Realty Group Trust")</f>
        <v>0</v>
      </c>
      <c r="C929" t="s">
        <v>1929</v>
      </c>
      <c r="D929">
        <v>17.26</v>
      </c>
      <c r="E929">
        <v>0.04634994206257242</v>
      </c>
      <c r="F929">
        <v>0.2222222222222223</v>
      </c>
      <c r="G929">
        <v>-0.07074310920591786</v>
      </c>
      <c r="H929">
        <v>0.8064263703389041</v>
      </c>
      <c r="I929">
        <v>3779.005267</v>
      </c>
      <c r="J929" t="s">
        <v>1921</v>
      </c>
      <c r="K929" t="s">
        <v>1921</v>
      </c>
      <c r="L929">
        <v>0.9664846557694271</v>
      </c>
      <c r="M929">
        <v>22.75</v>
      </c>
      <c r="N929">
        <v>16.22</v>
      </c>
    </row>
    <row r="930" spans="1:14">
      <c r="A930" s="1" t="s">
        <v>942</v>
      </c>
      <c r="B930">
        <f>HYPERLINK("https://www.suredividend.com/sure-analysis-research-database/","Kearny Financial Corp.")</f>
        <v>0</v>
      </c>
      <c r="C930" t="s">
        <v>1923</v>
      </c>
      <c r="D930">
        <v>10.19</v>
      </c>
      <c r="E930">
        <v>0.042594734411629</v>
      </c>
      <c r="F930">
        <v>0.09999999999999987</v>
      </c>
      <c r="G930">
        <v>0.2967441161096582</v>
      </c>
      <c r="H930">
        <v>0.4340403436545081</v>
      </c>
      <c r="I930">
        <v>694.75744</v>
      </c>
      <c r="J930">
        <v>10.28554103690764</v>
      </c>
      <c r="K930">
        <v>0.4557811022309231</v>
      </c>
      <c r="L930">
        <v>0.4756557296821221</v>
      </c>
      <c r="M930">
        <v>13.52</v>
      </c>
      <c r="N930">
        <v>10.18</v>
      </c>
    </row>
    <row r="931" spans="1:14">
      <c r="A931" s="1" t="s">
        <v>943</v>
      </c>
      <c r="B931">
        <f>HYPERLINK("https://www.suredividend.com/sure-analysis-research-database/","Kronos Worldwide, Inc.")</f>
        <v>0</v>
      </c>
      <c r="C931" t="s">
        <v>1925</v>
      </c>
      <c r="D931">
        <v>8.85</v>
      </c>
      <c r="E931">
        <v>0.083212927936752</v>
      </c>
      <c r="F931">
        <v>0.05555555555555558</v>
      </c>
      <c r="G931">
        <v>0.04841317128472156</v>
      </c>
      <c r="H931">
        <v>0.7364344122402621</v>
      </c>
      <c r="I931">
        <v>1021.909739</v>
      </c>
      <c r="J931">
        <v>5.976080344736842</v>
      </c>
      <c r="K931">
        <v>0.4975908190812582</v>
      </c>
      <c r="L931">
        <v>0.672653568749728</v>
      </c>
      <c r="M931">
        <v>19.5</v>
      </c>
      <c r="N931">
        <v>8.48</v>
      </c>
    </row>
    <row r="932" spans="1:14">
      <c r="A932" s="1" t="s">
        <v>944</v>
      </c>
      <c r="B932">
        <f>HYPERLINK("https://www.suredividend.com/sure-analysis-research-database/","Kronos Bio Inc")</f>
        <v>0</v>
      </c>
      <c r="C932" t="s">
        <v>1921</v>
      </c>
      <c r="D932">
        <v>2.91</v>
      </c>
      <c r="E932">
        <v>0</v>
      </c>
      <c r="H932">
        <v>0</v>
      </c>
      <c r="I932">
        <v>165.198055</v>
      </c>
      <c r="J932">
        <v>0</v>
      </c>
      <c r="K932" t="s">
        <v>1921</v>
      </c>
      <c r="L932">
        <v>1.647562207628609</v>
      </c>
      <c r="M932">
        <v>18.64</v>
      </c>
      <c r="N932">
        <v>2.88</v>
      </c>
    </row>
    <row r="933" spans="1:14">
      <c r="A933" s="1" t="s">
        <v>945</v>
      </c>
      <c r="B933">
        <f>HYPERLINK("https://www.suredividend.com/sure-analysis-research-database/","Keros Therapeutics Inc")</f>
        <v>0</v>
      </c>
      <c r="C933" t="s">
        <v>1922</v>
      </c>
      <c r="D933">
        <v>42.29</v>
      </c>
      <c r="E933">
        <v>0</v>
      </c>
      <c r="H933">
        <v>0</v>
      </c>
      <c r="I933">
        <v>1016.436936</v>
      </c>
      <c r="J933">
        <v>0</v>
      </c>
      <c r="K933" t="s">
        <v>1921</v>
      </c>
      <c r="L933">
        <v>1.608220809099268</v>
      </c>
      <c r="M933">
        <v>68.29000000000001</v>
      </c>
      <c r="N933">
        <v>24.38</v>
      </c>
    </row>
    <row r="934" spans="1:14">
      <c r="A934" s="1" t="s">
        <v>946</v>
      </c>
      <c r="B934">
        <f>HYPERLINK("https://www.suredividend.com/sure-analysis-research-database/","Karat Packaging Inc")</f>
        <v>0</v>
      </c>
      <c r="C934" t="s">
        <v>1921</v>
      </c>
      <c r="D934">
        <v>15.84</v>
      </c>
      <c r="E934">
        <v>0</v>
      </c>
      <c r="H934">
        <v>0</v>
      </c>
      <c r="I934">
        <v>314.145485</v>
      </c>
      <c r="J934">
        <v>0</v>
      </c>
      <c r="K934" t="s">
        <v>1921</v>
      </c>
      <c r="L934">
        <v>0.599974670093214</v>
      </c>
      <c r="M934">
        <v>25.57</v>
      </c>
      <c r="N934">
        <v>14.7</v>
      </c>
    </row>
    <row r="935" spans="1:14">
      <c r="A935" s="1" t="s">
        <v>947</v>
      </c>
      <c r="B935">
        <f>HYPERLINK("https://www.suredividend.com/sure-analysis-research-database/","Karuna Therapeutics Inc")</f>
        <v>0</v>
      </c>
      <c r="C935" t="s">
        <v>1922</v>
      </c>
      <c r="D935">
        <v>205.87</v>
      </c>
      <c r="E935">
        <v>0</v>
      </c>
      <c r="H935">
        <v>0</v>
      </c>
      <c r="I935">
        <v>6166.510987</v>
      </c>
      <c r="J935">
        <v>0</v>
      </c>
      <c r="K935" t="s">
        <v>1921</v>
      </c>
      <c r="L935">
        <v>1.249491845460047</v>
      </c>
      <c r="M935">
        <v>278.25</v>
      </c>
      <c r="N935">
        <v>92.26000000000001</v>
      </c>
    </row>
    <row r="936" spans="1:14">
      <c r="A936" s="1" t="s">
        <v>948</v>
      </c>
      <c r="B936">
        <f>HYPERLINK("https://www.suredividend.com/sure-analysis-research-database/","Kura Sushi USA Inc")</f>
        <v>0</v>
      </c>
      <c r="C936" t="s">
        <v>1927</v>
      </c>
      <c r="D936">
        <v>72.48999999999999</v>
      </c>
      <c r="E936">
        <v>0</v>
      </c>
      <c r="H936">
        <v>0</v>
      </c>
      <c r="I936">
        <v>633.596308</v>
      </c>
      <c r="J936">
        <v>0</v>
      </c>
      <c r="K936" t="s">
        <v>1921</v>
      </c>
      <c r="L936">
        <v>1.767717307656607</v>
      </c>
      <c r="M936">
        <v>96.59999999999999</v>
      </c>
      <c r="N936">
        <v>30.95</v>
      </c>
    </row>
    <row r="937" spans="1:14">
      <c r="A937" s="1" t="s">
        <v>949</v>
      </c>
      <c r="B937">
        <f>HYPERLINK("https://www.suredividend.com/sure-analysis-research-database/","Krystal Biotech Inc")</f>
        <v>0</v>
      </c>
      <c r="C937" t="s">
        <v>1922</v>
      </c>
      <c r="D937">
        <v>63.14</v>
      </c>
      <c r="E937">
        <v>0</v>
      </c>
      <c r="H937">
        <v>0</v>
      </c>
      <c r="I937">
        <v>1620.443081</v>
      </c>
      <c r="J937">
        <v>0</v>
      </c>
      <c r="K937" t="s">
        <v>1921</v>
      </c>
      <c r="L937">
        <v>1.963093450798856</v>
      </c>
      <c r="M937">
        <v>102.99</v>
      </c>
      <c r="N937">
        <v>38.86</v>
      </c>
    </row>
    <row r="938" spans="1:14">
      <c r="A938" s="1" t="s">
        <v>950</v>
      </c>
      <c r="B938">
        <f>HYPERLINK("https://www.suredividend.com/sure-analysis-KTB/","Kontoor Brands Inc")</f>
        <v>0</v>
      </c>
      <c r="C938" t="s">
        <v>1927</v>
      </c>
      <c r="D938">
        <v>33.18</v>
      </c>
      <c r="E938">
        <v>0.05545509342977697</v>
      </c>
      <c r="H938">
        <v>1.806974155153656</v>
      </c>
      <c r="I938">
        <v>1837.675096</v>
      </c>
      <c r="J938">
        <v>0</v>
      </c>
      <c r="K938" t="s">
        <v>1921</v>
      </c>
      <c r="L938">
        <v>1.257630831550783</v>
      </c>
      <c r="M938">
        <v>58.61</v>
      </c>
      <c r="N938">
        <v>30.59</v>
      </c>
    </row>
    <row r="939" spans="1:14">
      <c r="A939" s="1" t="s">
        <v>951</v>
      </c>
      <c r="B939">
        <f>HYPERLINK("https://www.suredividend.com/sure-analysis-research-database/","Kratos Defense &amp; Security Solutions Inc")</f>
        <v>0</v>
      </c>
      <c r="C939" t="s">
        <v>1924</v>
      </c>
      <c r="D939">
        <v>9.83</v>
      </c>
      <c r="E939">
        <v>0</v>
      </c>
      <c r="H939">
        <v>0</v>
      </c>
      <c r="I939">
        <v>1238.025578</v>
      </c>
      <c r="J939" t="s">
        <v>1921</v>
      </c>
      <c r="K939">
        <v>-0</v>
      </c>
      <c r="L939">
        <v>1.169027073535266</v>
      </c>
      <c r="M939">
        <v>23.51</v>
      </c>
      <c r="N939">
        <v>9.82</v>
      </c>
    </row>
    <row r="940" spans="1:14">
      <c r="A940" s="1" t="s">
        <v>952</v>
      </c>
      <c r="B940">
        <f>HYPERLINK("https://www.suredividend.com/sure-analysis-research-database/","Kura Oncology Inc")</f>
        <v>0</v>
      </c>
      <c r="C940" t="s">
        <v>1922</v>
      </c>
      <c r="D940">
        <v>14.3</v>
      </c>
      <c r="E940">
        <v>0</v>
      </c>
      <c r="H940">
        <v>0</v>
      </c>
      <c r="I940">
        <v>956.569943</v>
      </c>
      <c r="J940">
        <v>0</v>
      </c>
      <c r="K940" t="s">
        <v>1921</v>
      </c>
      <c r="L940">
        <v>1.18812399608261</v>
      </c>
      <c r="M940">
        <v>19.93</v>
      </c>
      <c r="N940">
        <v>10.41</v>
      </c>
    </row>
    <row r="941" spans="1:14">
      <c r="A941" s="1" t="s">
        <v>953</v>
      </c>
      <c r="B941">
        <f>HYPERLINK("https://www.suredividend.com/sure-analysis-research-database/","KVH Industries, Inc.")</f>
        <v>0</v>
      </c>
      <c r="C941" t="s">
        <v>1920</v>
      </c>
      <c r="D941">
        <v>8.890000000000001</v>
      </c>
      <c r="E941">
        <v>0</v>
      </c>
      <c r="H941">
        <v>0</v>
      </c>
      <c r="I941">
        <v>169.577275</v>
      </c>
      <c r="J941" t="s">
        <v>1921</v>
      </c>
      <c r="K941">
        <v>-0</v>
      </c>
      <c r="L941">
        <v>0.7524074714372561</v>
      </c>
      <c r="M941">
        <v>11.99</v>
      </c>
      <c r="N941">
        <v>6.89</v>
      </c>
    </row>
    <row r="942" spans="1:14">
      <c r="A942" s="1" t="s">
        <v>954</v>
      </c>
      <c r="B942">
        <f>HYPERLINK("https://www.suredividend.com/sure-analysis-research-database/","Kennedy-Wilson Holdings Inc")</f>
        <v>0</v>
      </c>
      <c r="C942" t="s">
        <v>1929</v>
      </c>
      <c r="D942">
        <v>14.49</v>
      </c>
      <c r="E942">
        <v>0.06494943968547801</v>
      </c>
      <c r="F942">
        <v>0.09090909090909083</v>
      </c>
      <c r="G942">
        <v>0.04783168830275741</v>
      </c>
      <c r="H942">
        <v>0.941117381042585</v>
      </c>
      <c r="I942">
        <v>1996.588228</v>
      </c>
      <c r="J942">
        <v>15.45346925944272</v>
      </c>
      <c r="K942">
        <v>1.037501246877505</v>
      </c>
      <c r="L942">
        <v>0.846247944740632</v>
      </c>
      <c r="M942">
        <v>24.54</v>
      </c>
      <c r="N942">
        <v>14.49</v>
      </c>
    </row>
    <row r="943" spans="1:14">
      <c r="A943" s="1" t="s">
        <v>955</v>
      </c>
      <c r="B943">
        <f>HYPERLINK("https://www.suredividend.com/sure-analysis-research-database/","Quaker Houghton")</f>
        <v>0</v>
      </c>
      <c r="C943" t="s">
        <v>1925</v>
      </c>
      <c r="D943">
        <v>137.95</v>
      </c>
      <c r="E943">
        <v>0.011984655006526</v>
      </c>
      <c r="F943">
        <v>0.05063291139240511</v>
      </c>
      <c r="G943">
        <v>0.03172498707259508</v>
      </c>
      <c r="H943">
        <v>1.653283158150397</v>
      </c>
      <c r="I943">
        <v>2470.972264</v>
      </c>
      <c r="J943">
        <v>29.76537088116605</v>
      </c>
      <c r="K943">
        <v>0.3555447651936338</v>
      </c>
      <c r="L943">
        <v>1.230308628265078</v>
      </c>
      <c r="M943">
        <v>274.52</v>
      </c>
      <c r="N943">
        <v>129.79</v>
      </c>
    </row>
    <row r="944" spans="1:14">
      <c r="A944" s="1" t="s">
        <v>956</v>
      </c>
      <c r="B944">
        <f>HYPERLINK("https://www.suredividend.com/sure-analysis-research-database/","Kymera Therapeutics Inc")</f>
        <v>0</v>
      </c>
      <c r="C944" t="s">
        <v>1921</v>
      </c>
      <c r="D944">
        <v>19.57</v>
      </c>
      <c r="E944">
        <v>0</v>
      </c>
      <c r="H944">
        <v>0</v>
      </c>
      <c r="I944">
        <v>1070.591645</v>
      </c>
      <c r="J944">
        <v>0</v>
      </c>
      <c r="K944" t="s">
        <v>1921</v>
      </c>
      <c r="L944">
        <v>1.744045114192608</v>
      </c>
      <c r="M944">
        <v>69.12</v>
      </c>
      <c r="N944">
        <v>13.15</v>
      </c>
    </row>
    <row r="945" spans="1:14">
      <c r="A945" s="1" t="s">
        <v>957</v>
      </c>
      <c r="B945">
        <f>HYPERLINK("https://www.suredividend.com/sure-analysis-research-database/","Kezar Life Sciences Inc")</f>
        <v>0</v>
      </c>
      <c r="C945" t="s">
        <v>1922</v>
      </c>
      <c r="D945">
        <v>7.65</v>
      </c>
      <c r="E945">
        <v>0</v>
      </c>
      <c r="H945">
        <v>0</v>
      </c>
      <c r="I945">
        <v>462.179233</v>
      </c>
      <c r="J945">
        <v>0</v>
      </c>
      <c r="K945" t="s">
        <v>1921</v>
      </c>
      <c r="L945">
        <v>0.8374085188205521</v>
      </c>
      <c r="M945">
        <v>18.55</v>
      </c>
      <c r="N945">
        <v>4.31</v>
      </c>
    </row>
    <row r="946" spans="1:14">
      <c r="A946" s="1" t="s">
        <v>958</v>
      </c>
      <c r="B946">
        <f>HYPERLINK("https://www.suredividend.com/sure-analysis-research-database/","Standard BioTools Inc")</f>
        <v>0</v>
      </c>
      <c r="C946" t="s">
        <v>1921</v>
      </c>
      <c r="D946">
        <v>1.1</v>
      </c>
      <c r="E946">
        <v>0</v>
      </c>
      <c r="H946">
        <v>0</v>
      </c>
      <c r="I946">
        <v>86.52028199999999</v>
      </c>
      <c r="J946" t="s">
        <v>1921</v>
      </c>
      <c r="K946">
        <v>-0</v>
      </c>
      <c r="L946">
        <v>1.422925220032788</v>
      </c>
      <c r="M946">
        <v>5.6</v>
      </c>
      <c r="N946">
        <v>1.06</v>
      </c>
    </row>
    <row r="947" spans="1:14">
      <c r="A947" s="1" t="s">
        <v>959</v>
      </c>
      <c r="B947">
        <f>HYPERLINK("https://www.suredividend.com/sure-analysis-research-database/","Landos Biopharma Inc")</f>
        <v>0</v>
      </c>
      <c r="C947" t="s">
        <v>1921</v>
      </c>
      <c r="D947">
        <v>0.63</v>
      </c>
      <c r="E947">
        <v>0</v>
      </c>
      <c r="H947">
        <v>0</v>
      </c>
      <c r="I947">
        <v>25.360581</v>
      </c>
      <c r="J947">
        <v>0</v>
      </c>
      <c r="K947" t="s">
        <v>1921</v>
      </c>
      <c r="L947">
        <v>1.616585859031891</v>
      </c>
      <c r="M947">
        <v>15</v>
      </c>
      <c r="N947">
        <v>0.5501</v>
      </c>
    </row>
    <row r="948" spans="1:14">
      <c r="A948" s="1" t="s">
        <v>960</v>
      </c>
      <c r="B948">
        <f>HYPERLINK("https://www.suredividend.com/sure-analysis-LADR/","Ladder Capital Corp")</f>
        <v>0</v>
      </c>
      <c r="C948" t="s">
        <v>1929</v>
      </c>
      <c r="D948">
        <v>9.140000000000001</v>
      </c>
      <c r="E948">
        <v>0.09628008752735229</v>
      </c>
      <c r="F948">
        <v>0.1499999999999999</v>
      </c>
      <c r="G948">
        <v>-0.06096137457361028</v>
      </c>
      <c r="H948">
        <v>0.82442657531998</v>
      </c>
      <c r="I948">
        <v>1159.230112</v>
      </c>
      <c r="J948">
        <v>11.5788696304287</v>
      </c>
      <c r="K948">
        <v>1.029760898476118</v>
      </c>
      <c r="L948">
        <v>0.834737959994692</v>
      </c>
      <c r="M948">
        <v>12.15</v>
      </c>
      <c r="N948">
        <v>8.67</v>
      </c>
    </row>
    <row r="949" spans="1:14">
      <c r="A949" s="1" t="s">
        <v>961</v>
      </c>
      <c r="B949">
        <f>HYPERLINK("https://www.suredividend.com/sure-analysis-LANC/","Lancaster Colony Corp.")</f>
        <v>0</v>
      </c>
      <c r="C949" t="s">
        <v>1928</v>
      </c>
      <c r="D949">
        <v>160.1</v>
      </c>
      <c r="E949">
        <v>0.01998750780762024</v>
      </c>
      <c r="F949">
        <v>0.06666666666666665</v>
      </c>
      <c r="G949">
        <v>0.05922384104881218</v>
      </c>
      <c r="H949">
        <v>3.17445048366504</v>
      </c>
      <c r="I949">
        <v>4405.952</v>
      </c>
      <c r="J949">
        <v>49.30453660392561</v>
      </c>
      <c r="K949">
        <v>0.9767539949738584</v>
      </c>
      <c r="L949">
        <v>0.415104723529045</v>
      </c>
      <c r="M949">
        <v>174.31</v>
      </c>
      <c r="N949">
        <v>115.68</v>
      </c>
    </row>
    <row r="950" spans="1:14">
      <c r="A950" s="1" t="s">
        <v>962</v>
      </c>
      <c r="B950">
        <f>HYPERLINK("https://www.suredividend.com/sure-analysis-LAND/","Gladstone Land Corp")</f>
        <v>0</v>
      </c>
      <c r="C950" t="s">
        <v>1929</v>
      </c>
      <c r="D950">
        <v>17.54</v>
      </c>
      <c r="E950">
        <v>0.03135689851767389</v>
      </c>
      <c r="F950">
        <v>0.004405286343612369</v>
      </c>
      <c r="G950">
        <v>0.002875517512575643</v>
      </c>
      <c r="H950">
        <v>0.539941308143436</v>
      </c>
      <c r="I950">
        <v>600.043628</v>
      </c>
      <c r="J950">
        <v>0</v>
      </c>
      <c r="K950" t="s">
        <v>1921</v>
      </c>
      <c r="L950">
        <v>1.011041945688531</v>
      </c>
      <c r="M950">
        <v>41.72</v>
      </c>
      <c r="N950">
        <v>17.31</v>
      </c>
    </row>
    <row r="951" spans="1:14">
      <c r="A951" s="1" t="s">
        <v>963</v>
      </c>
      <c r="B951">
        <f>HYPERLINK("https://www.suredividend.com/sure-analysis-research-database/","nLIGHT Inc")</f>
        <v>0</v>
      </c>
      <c r="C951" t="s">
        <v>1920</v>
      </c>
      <c r="D951">
        <v>9.42</v>
      </c>
      <c r="E951">
        <v>0</v>
      </c>
      <c r="H951">
        <v>0</v>
      </c>
      <c r="I951">
        <v>424.799789</v>
      </c>
      <c r="J951">
        <v>0</v>
      </c>
      <c r="K951" t="s">
        <v>1921</v>
      </c>
      <c r="L951">
        <v>1.706948130933304</v>
      </c>
      <c r="M951">
        <v>34.19</v>
      </c>
      <c r="N951">
        <v>9.210000000000001</v>
      </c>
    </row>
    <row r="952" spans="1:14">
      <c r="A952" s="1" t="s">
        <v>964</v>
      </c>
      <c r="B952">
        <f>HYPERLINK("https://www.suredividend.com/sure-analysis-research-database/","Laureate Education Inc")</f>
        <v>0</v>
      </c>
      <c r="C952" t="s">
        <v>1928</v>
      </c>
      <c r="D952">
        <v>10.7</v>
      </c>
      <c r="E952">
        <v>0</v>
      </c>
      <c r="H952">
        <v>0</v>
      </c>
      <c r="I952">
        <v>1761.89761</v>
      </c>
      <c r="J952">
        <v>4.569402440959993</v>
      </c>
      <c r="K952">
        <v>0</v>
      </c>
      <c r="M952">
        <v>13.35</v>
      </c>
      <c r="N952">
        <v>9.17</v>
      </c>
    </row>
    <row r="953" spans="1:14">
      <c r="A953" s="1" t="s">
        <v>965</v>
      </c>
      <c r="B953">
        <f>HYPERLINK("https://www.suredividend.com/sure-analysis-research-database/","CS Disco Inc")</f>
        <v>0</v>
      </c>
      <c r="C953" t="s">
        <v>1921</v>
      </c>
      <c r="D953">
        <v>9.470000000000001</v>
      </c>
      <c r="E953">
        <v>0</v>
      </c>
      <c r="H953">
        <v>0</v>
      </c>
      <c r="I953">
        <v>555.824576</v>
      </c>
      <c r="J953">
        <v>0</v>
      </c>
      <c r="K953" t="s">
        <v>1921</v>
      </c>
      <c r="L953">
        <v>2.050776741722883</v>
      </c>
      <c r="M953">
        <v>58.52</v>
      </c>
      <c r="N953">
        <v>9.27</v>
      </c>
    </row>
    <row r="954" spans="1:14">
      <c r="A954" s="1" t="s">
        <v>966</v>
      </c>
      <c r="B954">
        <f>HYPERLINK("https://www.suredividend.com/sure-analysis-research-database/","Lazydays Holdings Inc")</f>
        <v>0</v>
      </c>
      <c r="C954" t="s">
        <v>1927</v>
      </c>
      <c r="D954">
        <v>12.73</v>
      </c>
      <c r="E954">
        <v>0</v>
      </c>
      <c r="H954">
        <v>0</v>
      </c>
      <c r="I954">
        <v>139.445362</v>
      </c>
      <c r="J954">
        <v>0</v>
      </c>
      <c r="K954" t="s">
        <v>1921</v>
      </c>
      <c r="L954">
        <v>0.6494560928495641</v>
      </c>
      <c r="M954">
        <v>23.22</v>
      </c>
      <c r="N954">
        <v>11.25</v>
      </c>
    </row>
    <row r="955" spans="1:14">
      <c r="A955" s="1" t="s">
        <v>967</v>
      </c>
      <c r="B955">
        <f>HYPERLINK("https://www.suredividend.com/sure-analysis-research-database/","Lakeland Bancorp, Inc.")</f>
        <v>0</v>
      </c>
      <c r="C955" t="s">
        <v>1923</v>
      </c>
      <c r="D955">
        <v>16.03</v>
      </c>
      <c r="E955">
        <v>0.034477332090454</v>
      </c>
      <c r="H955">
        <v>0.552671633409984</v>
      </c>
      <c r="I955">
        <v>1038.768638</v>
      </c>
      <c r="J955">
        <v>11.75410057267327</v>
      </c>
      <c r="K955">
        <v>0.3612232898104471</v>
      </c>
      <c r="L955">
        <v>0.5739103284655861</v>
      </c>
      <c r="M955">
        <v>20.16</v>
      </c>
      <c r="N955">
        <v>13.78</v>
      </c>
    </row>
    <row r="956" spans="1:14">
      <c r="A956" s="1" t="s">
        <v>968</v>
      </c>
      <c r="B956">
        <f>HYPERLINK("https://www.suredividend.com/sure-analysis-research-database/","Luther Burbank Corp")</f>
        <v>0</v>
      </c>
      <c r="C956" t="s">
        <v>1923</v>
      </c>
      <c r="D956">
        <v>11.61</v>
      </c>
      <c r="E956">
        <v>0.04078159950261</v>
      </c>
      <c r="H956">
        <v>0.473474370225306</v>
      </c>
      <c r="I956">
        <v>592.979252</v>
      </c>
      <c r="J956">
        <v>0</v>
      </c>
      <c r="K956" t="s">
        <v>1921</v>
      </c>
      <c r="L956">
        <v>0.456316336621464</v>
      </c>
      <c r="M956">
        <v>14.83</v>
      </c>
      <c r="N956">
        <v>11.55</v>
      </c>
    </row>
    <row r="957" spans="1:14">
      <c r="A957" s="1" t="s">
        <v>969</v>
      </c>
      <c r="B957">
        <f>HYPERLINK("https://www.suredividend.com/sure-analysis-research-database/","Liberty Energy Inc")</f>
        <v>0</v>
      </c>
      <c r="C957" t="s">
        <v>1926</v>
      </c>
      <c r="D957">
        <v>14.38</v>
      </c>
      <c r="E957">
        <v>0</v>
      </c>
      <c r="H957">
        <v>0</v>
      </c>
      <c r="I957">
        <v>2687.036288</v>
      </c>
      <c r="J957">
        <v>506.8923388455009</v>
      </c>
      <c r="K957">
        <v>0</v>
      </c>
      <c r="L957">
        <v>0.964923593105326</v>
      </c>
      <c r="M957">
        <v>20.05</v>
      </c>
      <c r="N957">
        <v>8.5</v>
      </c>
    </row>
    <row r="958" spans="1:14">
      <c r="A958" s="1" t="s">
        <v>970</v>
      </c>
      <c r="B958">
        <f>HYPERLINK("https://www.suredividend.com/sure-analysis-research-database/","LendingClub Corp")</f>
        <v>0</v>
      </c>
      <c r="C958" t="s">
        <v>1923</v>
      </c>
      <c r="D958">
        <v>11.39</v>
      </c>
      <c r="E958">
        <v>0</v>
      </c>
      <c r="H958">
        <v>0</v>
      </c>
      <c r="I958">
        <v>1180.629254</v>
      </c>
      <c r="J958">
        <v>4.248686502675606</v>
      </c>
      <c r="K958">
        <v>0</v>
      </c>
      <c r="L958">
        <v>2.354433278096783</v>
      </c>
      <c r="M958">
        <v>49.21</v>
      </c>
      <c r="N958">
        <v>10.91</v>
      </c>
    </row>
    <row r="959" spans="1:14">
      <c r="A959" s="1" t="s">
        <v>971</v>
      </c>
      <c r="B959">
        <f>HYPERLINK("https://www.suredividend.com/sure-analysis-research-database/","LCI Industries")</f>
        <v>0</v>
      </c>
      <c r="C959" t="s">
        <v>1927</v>
      </c>
      <c r="D959">
        <v>97.51000000000001</v>
      </c>
      <c r="E959">
        <v>0.039497703099212</v>
      </c>
      <c r="F959">
        <v>0.1666666666666667</v>
      </c>
      <c r="G959">
        <v>0.1380604263098537</v>
      </c>
      <c r="H959">
        <v>3.851421029204225</v>
      </c>
      <c r="I959">
        <v>2479.65151</v>
      </c>
      <c r="J959">
        <v>4.994856407206496</v>
      </c>
      <c r="K959">
        <v>0.1978130985723793</v>
      </c>
      <c r="L959">
        <v>1.259162291922255</v>
      </c>
      <c r="M959">
        <v>158.47</v>
      </c>
      <c r="N959">
        <v>92.86</v>
      </c>
    </row>
    <row r="960" spans="1:14">
      <c r="A960" s="1" t="s">
        <v>972</v>
      </c>
      <c r="B960">
        <f>HYPERLINK("https://www.suredividend.com/sure-analysis-research-database/","Lineage Cell Therapeutics Inc")</f>
        <v>0</v>
      </c>
      <c r="C960" t="s">
        <v>1922</v>
      </c>
      <c r="D960">
        <v>1.18</v>
      </c>
      <c r="E960">
        <v>0</v>
      </c>
      <c r="H960">
        <v>0</v>
      </c>
      <c r="I960">
        <v>200.311475</v>
      </c>
      <c r="J960" t="s">
        <v>1921</v>
      </c>
      <c r="K960">
        <v>-0</v>
      </c>
      <c r="L960">
        <v>1.055641482098551</v>
      </c>
      <c r="M960">
        <v>2.71</v>
      </c>
      <c r="N960">
        <v>1.1</v>
      </c>
    </row>
    <row r="961" spans="1:14">
      <c r="A961" s="1" t="s">
        <v>973</v>
      </c>
      <c r="B961">
        <f>HYPERLINK("https://www.suredividend.com/sure-analysis-research-database/","Lifetime Brands, Inc.")</f>
        <v>0</v>
      </c>
      <c r="C961" t="s">
        <v>1927</v>
      </c>
      <c r="D961">
        <v>6.5</v>
      </c>
      <c r="E961">
        <v>0.026016836691116</v>
      </c>
      <c r="F961">
        <v>0</v>
      </c>
      <c r="G961">
        <v>0</v>
      </c>
      <c r="H961">
        <v>0.169109438492256</v>
      </c>
      <c r="I961">
        <v>143.372177</v>
      </c>
      <c r="J961">
        <v>16.17283440496334</v>
      </c>
      <c r="K961">
        <v>0.4201476732726857</v>
      </c>
      <c r="L961">
        <v>0.9237627446080021</v>
      </c>
      <c r="M961">
        <v>19.41</v>
      </c>
      <c r="N961">
        <v>6.38</v>
      </c>
    </row>
    <row r="962" spans="1:14">
      <c r="A962" s="1" t="s">
        <v>974</v>
      </c>
      <c r="B962">
        <f>HYPERLINK("https://www.suredividend.com/sure-analysis-research-database/","Lands` End, Inc.")</f>
        <v>0</v>
      </c>
      <c r="C962" t="s">
        <v>1927</v>
      </c>
      <c r="D962">
        <v>9.19</v>
      </c>
      <c r="E962">
        <v>0</v>
      </c>
      <c r="H962">
        <v>0</v>
      </c>
      <c r="I962">
        <v>304.322834</v>
      </c>
      <c r="J962">
        <v>0</v>
      </c>
      <c r="K962" t="s">
        <v>1921</v>
      </c>
      <c r="L962">
        <v>1.460366408782311</v>
      </c>
      <c r="M962">
        <v>29.7</v>
      </c>
      <c r="N962">
        <v>7.6</v>
      </c>
    </row>
    <row r="963" spans="1:14">
      <c r="A963" s="1" t="s">
        <v>975</v>
      </c>
      <c r="B963">
        <f>HYPERLINK("https://www.suredividend.com/sure-analysis-research-database/","Legacy Housing Corp")</f>
        <v>0</v>
      </c>
      <c r="C963" t="s">
        <v>1927</v>
      </c>
      <c r="D963">
        <v>16.88</v>
      </c>
      <c r="E963">
        <v>0</v>
      </c>
      <c r="H963">
        <v>0</v>
      </c>
      <c r="I963">
        <v>411.973618</v>
      </c>
      <c r="J963">
        <v>0</v>
      </c>
      <c r="K963" t="s">
        <v>1921</v>
      </c>
      <c r="L963">
        <v>0.8533395841099831</v>
      </c>
      <c r="M963">
        <v>28.84</v>
      </c>
      <c r="N963">
        <v>11.96</v>
      </c>
    </row>
    <row r="964" spans="1:14">
      <c r="A964" s="1" t="s">
        <v>976</v>
      </c>
      <c r="B964">
        <f>HYPERLINK("https://www.suredividend.com/sure-analysis-research-database/","Centrus Energy Corp")</f>
        <v>0</v>
      </c>
      <c r="C964" t="s">
        <v>1926</v>
      </c>
      <c r="D964">
        <v>36.8</v>
      </c>
      <c r="E964">
        <v>0</v>
      </c>
      <c r="H964">
        <v>0</v>
      </c>
      <c r="I964">
        <v>506.713331</v>
      </c>
      <c r="J964">
        <v>3.097269750611246</v>
      </c>
      <c r="K964">
        <v>0</v>
      </c>
      <c r="L964">
        <v>2.290124067739204</v>
      </c>
      <c r="M964">
        <v>88.88</v>
      </c>
      <c r="N964">
        <v>17.36</v>
      </c>
    </row>
    <row r="965" spans="1:14">
      <c r="A965" s="1" t="s">
        <v>977</v>
      </c>
      <c r="B965">
        <f>HYPERLINK("https://www.suredividend.com/sure-analysis-research-database/","LifeStance Health Group Inc")</f>
        <v>0</v>
      </c>
      <c r="C965" t="s">
        <v>1921</v>
      </c>
      <c r="D965">
        <v>7.64</v>
      </c>
      <c r="E965">
        <v>0</v>
      </c>
      <c r="H965">
        <v>0</v>
      </c>
      <c r="I965">
        <v>2874.027248</v>
      </c>
      <c r="J965">
        <v>0</v>
      </c>
      <c r="K965" t="s">
        <v>1921</v>
      </c>
      <c r="L965">
        <v>1.868712957546929</v>
      </c>
      <c r="M965">
        <v>13.83</v>
      </c>
      <c r="N965">
        <v>4.77</v>
      </c>
    </row>
    <row r="966" spans="1:14">
      <c r="A966" s="1" t="s">
        <v>978</v>
      </c>
      <c r="B966">
        <f>HYPERLINK("https://www.suredividend.com/sure-analysis-research-database/","Lions Gate Entertainment Corp.")</f>
        <v>0</v>
      </c>
      <c r="C966" t="s">
        <v>1921</v>
      </c>
      <c r="D966">
        <v>9.35</v>
      </c>
      <c r="E966">
        <v>0</v>
      </c>
      <c r="H966">
        <v>0</v>
      </c>
      <c r="I966">
        <v>2049.355591</v>
      </c>
      <c r="J966">
        <v>0</v>
      </c>
      <c r="K966" t="s">
        <v>1921</v>
      </c>
      <c r="L966">
        <v>0.807271672905977</v>
      </c>
    </row>
    <row r="967" spans="1:14">
      <c r="A967" s="1" t="s">
        <v>979</v>
      </c>
      <c r="B967">
        <f>HYPERLINK("https://www.suredividend.com/sure-analysis-research-database/","Lions Gate Entertainment Corp.")</f>
        <v>0</v>
      </c>
      <c r="C967" t="s">
        <v>1921</v>
      </c>
      <c r="D967">
        <v>8.92</v>
      </c>
      <c r="E967">
        <v>0</v>
      </c>
      <c r="H967">
        <v>0</v>
      </c>
      <c r="I967">
        <v>2049.355591</v>
      </c>
      <c r="J967">
        <v>0</v>
      </c>
      <c r="K967" t="s">
        <v>1921</v>
      </c>
      <c r="L967">
        <v>0.8090199593175621</v>
      </c>
    </row>
    <row r="968" spans="1:14">
      <c r="A968" s="1" t="s">
        <v>980</v>
      </c>
      <c r="B968">
        <f>HYPERLINK("https://www.suredividend.com/sure-analysis-research-database/","LGI Homes Inc")</f>
        <v>0</v>
      </c>
      <c r="C968" t="s">
        <v>1927</v>
      </c>
      <c r="D968">
        <v>87.37</v>
      </c>
      <c r="E968">
        <v>0</v>
      </c>
      <c r="H968">
        <v>0</v>
      </c>
      <c r="I968">
        <v>2033.327674</v>
      </c>
      <c r="J968">
        <v>4.91242809173381</v>
      </c>
      <c r="K968">
        <v>0</v>
      </c>
      <c r="L968">
        <v>1.346411628013632</v>
      </c>
      <c r="M968">
        <v>160.59</v>
      </c>
      <c r="N968">
        <v>71.73</v>
      </c>
    </row>
    <row r="969" spans="1:14">
      <c r="A969" s="1" t="s">
        <v>981</v>
      </c>
      <c r="B969">
        <f>HYPERLINK("https://www.suredividend.com/sure-analysis-research-database/","Ligand Pharmaceuticals, Inc.")</f>
        <v>0</v>
      </c>
      <c r="C969" t="s">
        <v>1922</v>
      </c>
      <c r="D969">
        <v>92.45999999999999</v>
      </c>
      <c r="E969">
        <v>0</v>
      </c>
      <c r="H969">
        <v>0</v>
      </c>
      <c r="I969">
        <v>1560.979157</v>
      </c>
      <c r="J969" t="s">
        <v>1921</v>
      </c>
      <c r="K969">
        <v>-0</v>
      </c>
      <c r="L969">
        <v>1.326412598482386</v>
      </c>
      <c r="M969">
        <v>169.98</v>
      </c>
      <c r="N969">
        <v>72.56999999999999</v>
      </c>
    </row>
    <row r="970" spans="1:14">
      <c r="A970" s="1" t="s">
        <v>982</v>
      </c>
      <c r="B970">
        <f>HYPERLINK("https://www.suredividend.com/sure-analysis-research-database/","LHC Group Inc")</f>
        <v>0</v>
      </c>
      <c r="C970" t="s">
        <v>1922</v>
      </c>
      <c r="D970">
        <v>164.8</v>
      </c>
      <c r="E970">
        <v>0</v>
      </c>
      <c r="H970">
        <v>0</v>
      </c>
      <c r="I970">
        <v>5113.549866</v>
      </c>
      <c r="J970">
        <v>69.60619984754437</v>
      </c>
      <c r="K970">
        <v>0</v>
      </c>
      <c r="L970">
        <v>0.5485712138169381</v>
      </c>
      <c r="M970">
        <v>169.84</v>
      </c>
      <c r="N970">
        <v>108.42</v>
      </c>
    </row>
    <row r="971" spans="1:14">
      <c r="A971" s="1" t="s">
        <v>983</v>
      </c>
      <c r="B971">
        <f>HYPERLINK("https://www.suredividend.com/sure-analysis-research-database/","Liberty Latin America Ltd")</f>
        <v>0</v>
      </c>
      <c r="C971" t="s">
        <v>1931</v>
      </c>
      <c r="D971">
        <v>7.51</v>
      </c>
      <c r="E971">
        <v>0</v>
      </c>
      <c r="H971">
        <v>0</v>
      </c>
      <c r="I971">
        <v>1649.612453</v>
      </c>
      <c r="J971">
        <v>0</v>
      </c>
      <c r="K971" t="s">
        <v>1921</v>
      </c>
      <c r="L971">
        <v>1.257498455393566</v>
      </c>
      <c r="M971">
        <v>14.03</v>
      </c>
      <c r="N971">
        <v>5.9</v>
      </c>
    </row>
    <row r="972" spans="1:14">
      <c r="A972" s="1" t="s">
        <v>984</v>
      </c>
      <c r="B972">
        <f>HYPERLINK("https://www.suredividend.com/sure-analysis-research-database/","Liberty Latin America Ltd")</f>
        <v>0</v>
      </c>
      <c r="C972" t="s">
        <v>1931</v>
      </c>
      <c r="D972">
        <v>7.52</v>
      </c>
      <c r="E972">
        <v>0</v>
      </c>
      <c r="H972">
        <v>0</v>
      </c>
      <c r="I972">
        <v>1649.612453</v>
      </c>
      <c r="J972">
        <v>0</v>
      </c>
      <c r="K972" t="s">
        <v>1921</v>
      </c>
      <c r="L972">
        <v>1.28604493206495</v>
      </c>
      <c r="M972">
        <v>13.88</v>
      </c>
      <c r="N972">
        <v>5.88</v>
      </c>
    </row>
    <row r="973" spans="1:14">
      <c r="A973" s="1" t="s">
        <v>985</v>
      </c>
      <c r="B973">
        <f>HYPERLINK("https://www.suredividend.com/sure-analysis-research-database/","Lindblad Expeditions Holdings Inc")</f>
        <v>0</v>
      </c>
      <c r="C973" t="s">
        <v>1927</v>
      </c>
      <c r="D973">
        <v>6.59</v>
      </c>
      <c r="E973">
        <v>0</v>
      </c>
      <c r="H973">
        <v>0</v>
      </c>
      <c r="I973">
        <v>349.694238</v>
      </c>
      <c r="J973">
        <v>0</v>
      </c>
      <c r="K973" t="s">
        <v>1921</v>
      </c>
      <c r="L973">
        <v>2.200179379398844</v>
      </c>
      <c r="M973">
        <v>19.13</v>
      </c>
      <c r="N973">
        <v>6.29</v>
      </c>
    </row>
    <row r="974" spans="1:14">
      <c r="A974" s="1" t="s">
        <v>986</v>
      </c>
      <c r="B974">
        <f>HYPERLINK("https://www.suredividend.com/sure-analysis-research-database/","LivaNova PLC")</f>
        <v>0</v>
      </c>
      <c r="C974" t="s">
        <v>1922</v>
      </c>
      <c r="D974">
        <v>48.93</v>
      </c>
      <c r="E974">
        <v>0</v>
      </c>
      <c r="H974">
        <v>0</v>
      </c>
      <c r="I974">
        <v>2614.849292</v>
      </c>
      <c r="J974" t="s">
        <v>1921</v>
      </c>
      <c r="K974">
        <v>-0</v>
      </c>
      <c r="L974">
        <v>1.009131848577057</v>
      </c>
      <c r="M974">
        <v>93.89</v>
      </c>
      <c r="N974">
        <v>47.09</v>
      </c>
    </row>
    <row r="975" spans="1:14">
      <c r="A975" s="1" t="s">
        <v>987</v>
      </c>
      <c r="B975">
        <f>HYPERLINK("https://www.suredividend.com/sure-analysis-research-database/","Lakeland Financial Corp.")</f>
        <v>0</v>
      </c>
      <c r="C975" t="s">
        <v>1923</v>
      </c>
      <c r="D975">
        <v>73.83</v>
      </c>
      <c r="E975">
        <v>0.020696175758187</v>
      </c>
      <c r="F975">
        <v>0.1764705882352942</v>
      </c>
      <c r="G975">
        <v>0.1270092020979254</v>
      </c>
      <c r="H975">
        <v>1.527998656227002</v>
      </c>
      <c r="I975">
        <v>1871.713205</v>
      </c>
      <c r="J975">
        <v>19.15442763756562</v>
      </c>
      <c r="K975">
        <v>0.4010495160700793</v>
      </c>
      <c r="L975">
        <v>0.406086912458579</v>
      </c>
      <c r="M975">
        <v>84.36</v>
      </c>
      <c r="N975">
        <v>63.68</v>
      </c>
    </row>
    <row r="976" spans="1:14">
      <c r="A976" s="1" t="s">
        <v>988</v>
      </c>
      <c r="B976">
        <f>HYPERLINK("https://www.suredividend.com/sure-analysis-research-database/","LL Flooring Holdings Inc")</f>
        <v>0</v>
      </c>
      <c r="C976" t="s">
        <v>1927</v>
      </c>
      <c r="D976">
        <v>7.66</v>
      </c>
      <c r="E976">
        <v>0</v>
      </c>
      <c r="H976">
        <v>0</v>
      </c>
      <c r="I976">
        <v>224.723825</v>
      </c>
      <c r="J976">
        <v>8.690016443928847</v>
      </c>
      <c r="K976">
        <v>0</v>
      </c>
      <c r="L976">
        <v>1.108059545462664</v>
      </c>
      <c r="M976">
        <v>19.21</v>
      </c>
      <c r="N976">
        <v>6.8</v>
      </c>
    </row>
    <row r="977" spans="1:14">
      <c r="A977" s="1" t="s">
        <v>989</v>
      </c>
      <c r="B977">
        <f>HYPERLINK("https://www.suredividend.com/sure-analysis-research-database/","Limelight Networks Inc")</f>
        <v>0</v>
      </c>
      <c r="C977" t="s">
        <v>1920</v>
      </c>
      <c r="D977">
        <v>2.46</v>
      </c>
      <c r="E977">
        <v>0</v>
      </c>
      <c r="H977">
        <v>0</v>
      </c>
      <c r="I977">
        <v>339.956399</v>
      </c>
      <c r="J977" t="s">
        <v>1921</v>
      </c>
      <c r="K977">
        <v>-0</v>
      </c>
      <c r="L977">
        <v>0.518385305096123</v>
      </c>
      <c r="M977">
        <v>5.55</v>
      </c>
      <c r="N977">
        <v>2.3</v>
      </c>
    </row>
    <row r="978" spans="1:14">
      <c r="A978" s="1" t="s">
        <v>990</v>
      </c>
      <c r="B978">
        <f>HYPERLINK("https://www.suredividend.com/sure-analysis-research-database/","Lemaitre Vascular Inc")</f>
        <v>0</v>
      </c>
      <c r="C978" t="s">
        <v>1922</v>
      </c>
      <c r="D978">
        <v>48.24</v>
      </c>
      <c r="E978">
        <v>0.010015724068283</v>
      </c>
      <c r="F978">
        <v>0.1363636363636365</v>
      </c>
      <c r="G978">
        <v>0.1784453978479226</v>
      </c>
      <c r="H978">
        <v>0.483158529053982</v>
      </c>
      <c r="I978">
        <v>1059.488801</v>
      </c>
      <c r="J978">
        <v>0</v>
      </c>
      <c r="K978" t="s">
        <v>1921</v>
      </c>
      <c r="L978">
        <v>0.9760742312468711</v>
      </c>
      <c r="M978">
        <v>56.24</v>
      </c>
      <c r="N978">
        <v>38.12</v>
      </c>
    </row>
    <row r="979" spans="1:14">
      <c r="A979" s="1" t="s">
        <v>991</v>
      </c>
      <c r="B979">
        <f>HYPERLINK("https://www.suredividend.com/sure-analysis-research-database/","Limoneira Co")</f>
        <v>0</v>
      </c>
      <c r="C979" t="s">
        <v>1928</v>
      </c>
      <c r="D979">
        <v>12.31</v>
      </c>
      <c r="E979">
        <v>0.024166801839765</v>
      </c>
      <c r="F979">
        <v>0</v>
      </c>
      <c r="G979">
        <v>0.03713728933664817</v>
      </c>
      <c r="H979">
        <v>0.297493330647514</v>
      </c>
      <c r="I979">
        <v>218.152293</v>
      </c>
      <c r="J979" t="s">
        <v>1921</v>
      </c>
      <c r="K979" t="s">
        <v>1921</v>
      </c>
      <c r="L979">
        <v>0.40352493772695</v>
      </c>
      <c r="M979">
        <v>16.35</v>
      </c>
      <c r="N979">
        <v>10.32</v>
      </c>
    </row>
    <row r="980" spans="1:14">
      <c r="A980" s="1" t="s">
        <v>992</v>
      </c>
      <c r="B980">
        <f>HYPERLINK("https://www.suredividend.com/sure-analysis-research-database/","Landec Corp.")</f>
        <v>0</v>
      </c>
      <c r="C980" t="s">
        <v>1928</v>
      </c>
      <c r="D980">
        <v>8.050000000000001</v>
      </c>
      <c r="E980">
        <v>0</v>
      </c>
      <c r="H980">
        <v>0</v>
      </c>
      <c r="I980">
        <v>238.24421</v>
      </c>
      <c r="J980" t="s">
        <v>1921</v>
      </c>
      <c r="K980">
        <v>-0</v>
      </c>
      <c r="L980">
        <v>0.6439389164603141</v>
      </c>
      <c r="M980">
        <v>12.04</v>
      </c>
      <c r="N980">
        <v>7.65</v>
      </c>
    </row>
    <row r="981" spans="1:14">
      <c r="A981" s="1" t="s">
        <v>993</v>
      </c>
      <c r="B981">
        <f>HYPERLINK("https://www.suredividend.com/sure-analysis-LNN/","Lindsay Corporation")</f>
        <v>0</v>
      </c>
      <c r="C981" t="s">
        <v>1924</v>
      </c>
      <c r="D981">
        <v>153.17</v>
      </c>
      <c r="E981">
        <v>0.008879023307436184</v>
      </c>
      <c r="H981">
        <v>1.325435557516371</v>
      </c>
      <c r="I981">
        <v>1681.718068</v>
      </c>
      <c r="J981">
        <v>31.52590858840732</v>
      </c>
      <c r="K981">
        <v>0.2738503218009031</v>
      </c>
      <c r="L981">
        <v>0.8570209843137591</v>
      </c>
      <c r="M981">
        <v>171.69</v>
      </c>
      <c r="N981">
        <v>116.53</v>
      </c>
    </row>
    <row r="982" spans="1:14">
      <c r="A982" s="1" t="s">
        <v>994</v>
      </c>
      <c r="B982">
        <f>HYPERLINK("https://www.suredividend.com/sure-analysis-research-database/","Lantheus Holdings Inc")</f>
        <v>0</v>
      </c>
      <c r="C982" t="s">
        <v>1922</v>
      </c>
      <c r="D982">
        <v>66.23</v>
      </c>
      <c r="E982">
        <v>0</v>
      </c>
      <c r="H982">
        <v>0</v>
      </c>
      <c r="I982">
        <v>4552.77511</v>
      </c>
      <c r="J982">
        <v>140.5611333677061</v>
      </c>
      <c r="K982">
        <v>0</v>
      </c>
      <c r="L982">
        <v>1.339178620484881</v>
      </c>
      <c r="M982">
        <v>87.47</v>
      </c>
      <c r="N982">
        <v>22.2</v>
      </c>
    </row>
    <row r="983" spans="1:14">
      <c r="A983" s="1" t="s">
        <v>995</v>
      </c>
      <c r="B983">
        <f>HYPERLINK("https://www.suredividend.com/sure-analysis-research-database/","Live Oak Bancshares Inc")</f>
        <v>0</v>
      </c>
      <c r="C983" t="s">
        <v>1923</v>
      </c>
      <c r="D983">
        <v>33.22</v>
      </c>
      <c r="E983">
        <v>0.003608112239814</v>
      </c>
      <c r="F983">
        <v>0</v>
      </c>
      <c r="G983">
        <v>0</v>
      </c>
      <c r="H983">
        <v>0.119861488606641</v>
      </c>
      <c r="I983">
        <v>1455.07892</v>
      </c>
      <c r="J983">
        <v>7.441564741886321</v>
      </c>
      <c r="K983">
        <v>0.027681637091603</v>
      </c>
      <c r="L983">
        <v>1.527116292420824</v>
      </c>
      <c r="M983">
        <v>99.65000000000001</v>
      </c>
      <c r="N983">
        <v>30.21</v>
      </c>
    </row>
    <row r="984" spans="1:14">
      <c r="A984" s="1" t="s">
        <v>996</v>
      </c>
      <c r="B984">
        <f>HYPERLINK("https://www.suredividend.com/sure-analysis-research-database/","El Pollo Loco Holdings Inc")</f>
        <v>0</v>
      </c>
      <c r="C984" t="s">
        <v>1927</v>
      </c>
      <c r="D984">
        <v>9.19</v>
      </c>
      <c r="E984">
        <v>0</v>
      </c>
      <c r="H984">
        <v>0</v>
      </c>
      <c r="I984">
        <v>340.053094</v>
      </c>
      <c r="J984">
        <v>13.28591890877124</v>
      </c>
      <c r="K984">
        <v>0</v>
      </c>
      <c r="L984">
        <v>0.882115827424033</v>
      </c>
      <c r="M984">
        <v>16.9</v>
      </c>
      <c r="N984">
        <v>8.15</v>
      </c>
    </row>
    <row r="985" spans="1:14">
      <c r="A985" s="1" t="s">
        <v>997</v>
      </c>
      <c r="B985">
        <f>HYPERLINK("https://www.suredividend.com/sure-analysis-research-database/","CarLotz Inc")</f>
        <v>0</v>
      </c>
      <c r="C985" t="s">
        <v>1921</v>
      </c>
      <c r="D985">
        <v>0.2685</v>
      </c>
      <c r="E985">
        <v>0</v>
      </c>
      <c r="H985">
        <v>0</v>
      </c>
      <c r="I985">
        <v>30.799017</v>
      </c>
      <c r="J985">
        <v>0</v>
      </c>
      <c r="K985" t="s">
        <v>1921</v>
      </c>
      <c r="L985">
        <v>1.781643417839228</v>
      </c>
      <c r="M985">
        <v>4.75</v>
      </c>
      <c r="N985">
        <v>0.255</v>
      </c>
    </row>
    <row r="986" spans="1:14">
      <c r="A986" s="1" t="s">
        <v>998</v>
      </c>
      <c r="B986">
        <f>HYPERLINK("https://www.suredividend.com/sure-analysis-research-database/","Lovesac Company")</f>
        <v>0</v>
      </c>
      <c r="C986" t="s">
        <v>1927</v>
      </c>
      <c r="D986">
        <v>20.06</v>
      </c>
      <c r="E986">
        <v>0</v>
      </c>
      <c r="H986">
        <v>0</v>
      </c>
      <c r="I986">
        <v>304.598201</v>
      </c>
      <c r="J986">
        <v>0</v>
      </c>
      <c r="K986" t="s">
        <v>1921</v>
      </c>
      <c r="L986">
        <v>2.093721022947352</v>
      </c>
      <c r="M986">
        <v>87.12</v>
      </c>
      <c r="N986">
        <v>19.42</v>
      </c>
    </row>
    <row r="987" spans="1:14">
      <c r="A987" s="1" t="s">
        <v>999</v>
      </c>
      <c r="B987">
        <f>HYPERLINK("https://www.suredividend.com/sure-analysis-research-database/","Dorian LPG Ltd")</f>
        <v>0</v>
      </c>
      <c r="C987" t="s">
        <v>1926</v>
      </c>
      <c r="D987">
        <v>14.27</v>
      </c>
      <c r="E987">
        <v>0</v>
      </c>
      <c r="H987">
        <v>0</v>
      </c>
      <c r="I987">
        <v>575.549527</v>
      </c>
      <c r="J987">
        <v>0</v>
      </c>
      <c r="K987" t="s">
        <v>1921</v>
      </c>
      <c r="L987">
        <v>0.365546746455639</v>
      </c>
      <c r="M987">
        <v>17.33</v>
      </c>
      <c r="N987">
        <v>8.640000000000001</v>
      </c>
    </row>
    <row r="988" spans="1:14">
      <c r="A988" s="1" t="s">
        <v>1000</v>
      </c>
      <c r="B988">
        <f>HYPERLINK("https://www.suredividend.com/sure-analysis-research-database/","Laredo Petroleum Inc.")</f>
        <v>0</v>
      </c>
      <c r="C988" t="s">
        <v>1926</v>
      </c>
      <c r="D988">
        <v>74.28</v>
      </c>
      <c r="E988">
        <v>0</v>
      </c>
      <c r="H988">
        <v>0</v>
      </c>
      <c r="I988">
        <v>1285.303163</v>
      </c>
      <c r="J988">
        <v>2.430268066095263</v>
      </c>
      <c r="K988">
        <v>0</v>
      </c>
      <c r="L988">
        <v>1.502194073966989</v>
      </c>
      <c r="M988">
        <v>120.86</v>
      </c>
      <c r="N988">
        <v>51.23</v>
      </c>
    </row>
    <row r="989" spans="1:14">
      <c r="A989" s="1" t="s">
        <v>1001</v>
      </c>
      <c r="B989">
        <f>HYPERLINK("https://www.suredividend.com/sure-analysis-research-database/","Open Lending Corp")</f>
        <v>0</v>
      </c>
      <c r="C989" t="s">
        <v>1921</v>
      </c>
      <c r="D989">
        <v>7.28</v>
      </c>
      <c r="E989">
        <v>0</v>
      </c>
      <c r="H989">
        <v>0</v>
      </c>
      <c r="I989">
        <v>918.922004</v>
      </c>
      <c r="J989">
        <v>0</v>
      </c>
      <c r="K989" t="s">
        <v>1921</v>
      </c>
      <c r="L989">
        <v>1.924239847191514</v>
      </c>
      <c r="M989">
        <v>36</v>
      </c>
      <c r="N989">
        <v>7.11</v>
      </c>
    </row>
    <row r="990" spans="1:14">
      <c r="A990" s="1" t="s">
        <v>1002</v>
      </c>
      <c r="B990">
        <f>HYPERLINK("https://www.suredividend.com/sure-analysis-research-database/","Liveperson Inc")</f>
        <v>0</v>
      </c>
      <c r="C990" t="s">
        <v>1920</v>
      </c>
      <c r="D990">
        <v>9.09</v>
      </c>
      <c r="E990">
        <v>0</v>
      </c>
      <c r="H990">
        <v>0</v>
      </c>
      <c r="I990">
        <v>681.8622800000001</v>
      </c>
      <c r="J990" t="s">
        <v>1921</v>
      </c>
      <c r="K990">
        <v>-0</v>
      </c>
      <c r="L990">
        <v>1.868852869139452</v>
      </c>
      <c r="M990">
        <v>60.31</v>
      </c>
      <c r="N990">
        <v>8.65</v>
      </c>
    </row>
    <row r="991" spans="1:14">
      <c r="A991" s="1" t="s">
        <v>1003</v>
      </c>
      <c r="B991">
        <f>HYPERLINK("https://www.suredividend.com/sure-analysis-research-database/","Liquidity Services Inc")</f>
        <v>0</v>
      </c>
      <c r="C991" t="s">
        <v>1927</v>
      </c>
      <c r="D991">
        <v>17.33</v>
      </c>
      <c r="E991">
        <v>0</v>
      </c>
      <c r="H991">
        <v>0</v>
      </c>
      <c r="I991">
        <v>616.532461</v>
      </c>
      <c r="J991">
        <v>9.523796052582798</v>
      </c>
      <c r="K991">
        <v>0</v>
      </c>
      <c r="L991">
        <v>1.160278525951989</v>
      </c>
      <c r="M991">
        <v>28.73</v>
      </c>
      <c r="N991">
        <v>11.39</v>
      </c>
    </row>
    <row r="992" spans="1:14">
      <c r="A992" s="1" t="s">
        <v>1004</v>
      </c>
      <c r="B992">
        <f>HYPERLINK("https://www.suredividend.com/sure-analysis-research-database/","Stride Inc")</f>
        <v>0</v>
      </c>
      <c r="C992" t="s">
        <v>1928</v>
      </c>
      <c r="D992">
        <v>44.29</v>
      </c>
      <c r="E992">
        <v>0</v>
      </c>
      <c r="H992">
        <v>0</v>
      </c>
      <c r="I992">
        <v>1894.32263</v>
      </c>
      <c r="J992">
        <v>17.68246643815925</v>
      </c>
      <c r="K992">
        <v>0</v>
      </c>
      <c r="L992">
        <v>0.6763809944653271</v>
      </c>
      <c r="M992">
        <v>44.93</v>
      </c>
      <c r="N992">
        <v>25.65</v>
      </c>
    </row>
    <row r="993" spans="1:14">
      <c r="A993" s="1" t="s">
        <v>1005</v>
      </c>
      <c r="B993">
        <f>HYPERLINK("https://www.suredividend.com/sure-analysis-research-database/","Lattice Semiconductor Corp.")</f>
        <v>0</v>
      </c>
      <c r="C993" t="s">
        <v>1920</v>
      </c>
      <c r="D993">
        <v>49.29</v>
      </c>
      <c r="E993">
        <v>0</v>
      </c>
      <c r="H993">
        <v>0</v>
      </c>
      <c r="I993">
        <v>6768.344382</v>
      </c>
      <c r="J993">
        <v>49.81082257225072</v>
      </c>
      <c r="K993">
        <v>0</v>
      </c>
      <c r="L993">
        <v>2.026769043544194</v>
      </c>
      <c r="M993">
        <v>85.45</v>
      </c>
      <c r="N993">
        <v>43.41</v>
      </c>
    </row>
    <row r="994" spans="1:14">
      <c r="A994" s="1" t="s">
        <v>1006</v>
      </c>
      <c r="B994">
        <f>HYPERLINK("https://www.suredividend.com/sure-analysis-research-database/","Landsea Homes Corporation")</f>
        <v>0</v>
      </c>
      <c r="C994" t="s">
        <v>1921</v>
      </c>
      <c r="D994">
        <v>4.69</v>
      </c>
      <c r="E994">
        <v>0</v>
      </c>
      <c r="H994">
        <v>0</v>
      </c>
      <c r="I994">
        <v>191.940966</v>
      </c>
      <c r="J994">
        <v>0</v>
      </c>
      <c r="K994" t="s">
        <v>1921</v>
      </c>
      <c r="L994">
        <v>0.793773847011065</v>
      </c>
      <c r="M994">
        <v>9.35</v>
      </c>
      <c r="N994">
        <v>4.64</v>
      </c>
    </row>
    <row r="995" spans="1:14">
      <c r="A995" s="1" t="s">
        <v>1007</v>
      </c>
      <c r="B995">
        <f>HYPERLINK("https://www.suredividend.com/sure-analysis-research-database/","Laird Superfood Inc")</f>
        <v>0</v>
      </c>
      <c r="C995" t="s">
        <v>1921</v>
      </c>
      <c r="D995">
        <v>1.9</v>
      </c>
      <c r="E995">
        <v>0</v>
      </c>
      <c r="H995">
        <v>0</v>
      </c>
      <c r="I995">
        <v>17.434043</v>
      </c>
      <c r="J995">
        <v>0</v>
      </c>
      <c r="K995" t="s">
        <v>1921</v>
      </c>
      <c r="L995">
        <v>0.9834803975181901</v>
      </c>
      <c r="M995">
        <v>19.8</v>
      </c>
      <c r="N995">
        <v>1.7</v>
      </c>
    </row>
    <row r="996" spans="1:14">
      <c r="A996" s="1" t="s">
        <v>1008</v>
      </c>
      <c r="B996">
        <f>HYPERLINK("https://www.suredividend.com/sure-analysis-LTC/","LTC Properties, Inc.")</f>
        <v>0</v>
      </c>
      <c r="C996" t="s">
        <v>1929</v>
      </c>
      <c r="D996">
        <v>36.3</v>
      </c>
      <c r="E996">
        <v>0.06280991735537191</v>
      </c>
      <c r="F996">
        <v>0</v>
      </c>
      <c r="G996">
        <v>0</v>
      </c>
      <c r="H996">
        <v>2.226888641229668</v>
      </c>
      <c r="I996">
        <v>1470.323913</v>
      </c>
      <c r="J996">
        <v>15.98612572220712</v>
      </c>
      <c r="K996">
        <v>0.9516618124913113</v>
      </c>
      <c r="L996">
        <v>0.371467320395315</v>
      </c>
      <c r="M996">
        <v>45.28</v>
      </c>
      <c r="N996">
        <v>29.96</v>
      </c>
    </row>
    <row r="997" spans="1:14">
      <c r="A997" s="1" t="s">
        <v>1009</v>
      </c>
      <c r="B997">
        <f>HYPERLINK("https://www.suredividend.com/sure-analysis-research-database/","Life Time Group Holdings Inc")</f>
        <v>0</v>
      </c>
      <c r="C997" t="s">
        <v>1921</v>
      </c>
      <c r="D997">
        <v>9.98</v>
      </c>
      <c r="E997">
        <v>0</v>
      </c>
      <c r="H997">
        <v>0</v>
      </c>
      <c r="I997">
        <v>1934.863598</v>
      </c>
      <c r="J997">
        <v>0</v>
      </c>
      <c r="K997" t="s">
        <v>1921</v>
      </c>
      <c r="L997">
        <v>1.481115761268696</v>
      </c>
      <c r="M997">
        <v>23.37</v>
      </c>
      <c r="N997">
        <v>9.51</v>
      </c>
    </row>
    <row r="998" spans="1:14">
      <c r="A998" s="1" t="s">
        <v>1010</v>
      </c>
      <c r="B998">
        <f>HYPERLINK("https://www.suredividend.com/sure-analysis-research-database/","Livent Corp")</f>
        <v>0</v>
      </c>
      <c r="C998" t="s">
        <v>1925</v>
      </c>
      <c r="D998">
        <v>29.94</v>
      </c>
      <c r="E998">
        <v>0</v>
      </c>
      <c r="H998">
        <v>0</v>
      </c>
      <c r="I998">
        <v>5367.357273</v>
      </c>
      <c r="J998">
        <v>49.6517786586494</v>
      </c>
      <c r="K998">
        <v>0</v>
      </c>
      <c r="L998">
        <v>1.882272728047042</v>
      </c>
      <c r="M998">
        <v>36.38</v>
      </c>
      <c r="N998">
        <v>19.35</v>
      </c>
    </row>
    <row r="999" spans="1:14">
      <c r="A999" s="1" t="s">
        <v>1011</v>
      </c>
      <c r="B999">
        <f>HYPERLINK("https://www.suredividend.com/sure-analysis-research-database/","Liberty TripAdvisor Holdings Inc")</f>
        <v>0</v>
      </c>
      <c r="C999" t="s">
        <v>1931</v>
      </c>
      <c r="D999">
        <v>1.1</v>
      </c>
      <c r="E999">
        <v>0</v>
      </c>
      <c r="H999">
        <v>0</v>
      </c>
      <c r="I999">
        <v>177.746225</v>
      </c>
      <c r="J999">
        <v>0</v>
      </c>
      <c r="K999" t="s">
        <v>1921</v>
      </c>
      <c r="L999">
        <v>1.906663878779105</v>
      </c>
      <c r="M999">
        <v>3.75</v>
      </c>
      <c r="N999">
        <v>0.612</v>
      </c>
    </row>
    <row r="1000" spans="1:14">
      <c r="A1000" s="1" t="s">
        <v>1012</v>
      </c>
      <c r="B1000">
        <f>HYPERLINK("https://www.suredividend.com/sure-analysis-research-database/","Luna Innovations Inc")</f>
        <v>0</v>
      </c>
      <c r="C1000" t="s">
        <v>1920</v>
      </c>
      <c r="D1000">
        <v>4.52</v>
      </c>
      <c r="E1000">
        <v>0</v>
      </c>
      <c r="H1000">
        <v>0</v>
      </c>
      <c r="I1000">
        <v>148.300093</v>
      </c>
      <c r="J1000">
        <v>0</v>
      </c>
      <c r="K1000" t="s">
        <v>1921</v>
      </c>
      <c r="L1000">
        <v>1.315545189526007</v>
      </c>
      <c r="M1000">
        <v>10.2</v>
      </c>
      <c r="N1000">
        <v>4.32</v>
      </c>
    </row>
    <row r="1001" spans="1:14">
      <c r="A1001" s="1" t="s">
        <v>1013</v>
      </c>
      <c r="B1001">
        <f>HYPERLINK("https://www.suredividend.com/sure-analysis-research-database/","Pulmonx Corp")</f>
        <v>0</v>
      </c>
      <c r="C1001" t="s">
        <v>1921</v>
      </c>
      <c r="D1001">
        <v>14.79</v>
      </c>
      <c r="E1001">
        <v>0</v>
      </c>
      <c r="H1001">
        <v>0</v>
      </c>
      <c r="I1001">
        <v>551.200376</v>
      </c>
      <c r="J1001">
        <v>0</v>
      </c>
      <c r="K1001" t="s">
        <v>1921</v>
      </c>
      <c r="L1001">
        <v>1.716294671415418</v>
      </c>
      <c r="M1001">
        <v>45.49</v>
      </c>
      <c r="N1001">
        <v>13.79</v>
      </c>
    </row>
    <row r="1002" spans="1:14">
      <c r="A1002" s="1" t="s">
        <v>1014</v>
      </c>
      <c r="B1002">
        <f>HYPERLINK("https://www.suredividend.com/sure-analysis-research-database/","Lulus Fashion Lounge Holdings Inc")</f>
        <v>0</v>
      </c>
      <c r="C1002" t="s">
        <v>1921</v>
      </c>
      <c r="D1002">
        <v>5.28</v>
      </c>
      <c r="E1002">
        <v>0</v>
      </c>
      <c r="H1002">
        <v>0</v>
      </c>
      <c r="I1002">
        <v>205.555944</v>
      </c>
      <c r="J1002">
        <v>0</v>
      </c>
      <c r="K1002" t="s">
        <v>1921</v>
      </c>
      <c r="M1002">
        <v>21.29</v>
      </c>
      <c r="N1002">
        <v>4.57</v>
      </c>
    </row>
    <row r="1003" spans="1:14">
      <c r="A1003" s="1" t="s">
        <v>1015</v>
      </c>
      <c r="B1003">
        <f>HYPERLINK("https://www.suredividend.com/sure-analysis-research-database/","LiveOne Inc")</f>
        <v>0</v>
      </c>
      <c r="C1003" t="s">
        <v>1921</v>
      </c>
      <c r="D1003">
        <v>0.7752</v>
      </c>
      <c r="E1003">
        <v>0</v>
      </c>
      <c r="H1003">
        <v>0</v>
      </c>
      <c r="I1003">
        <v>65.34003</v>
      </c>
      <c r="J1003" t="s">
        <v>1921</v>
      </c>
      <c r="K1003">
        <v>-0</v>
      </c>
      <c r="L1003">
        <v>1.064952794529063</v>
      </c>
      <c r="M1003">
        <v>3.16</v>
      </c>
      <c r="N1003">
        <v>0.5600000000000001</v>
      </c>
    </row>
    <row r="1004" spans="1:14">
      <c r="A1004" s="1" t="s">
        <v>1016</v>
      </c>
      <c r="B1004">
        <f>HYPERLINK("https://www.suredividend.com/sure-analysis-research-database/","Luxfer Holdings PLC")</f>
        <v>0</v>
      </c>
      <c r="C1004" t="s">
        <v>1924</v>
      </c>
      <c r="D1004">
        <v>14.92</v>
      </c>
      <c r="E1004">
        <v>0.03377666241894</v>
      </c>
      <c r="H1004">
        <v>0.5039478032905961</v>
      </c>
      <c r="I1004">
        <v>409.077918</v>
      </c>
      <c r="J1004">
        <v>0</v>
      </c>
      <c r="K1004" t="s">
        <v>1921</v>
      </c>
      <c r="L1004">
        <v>0.740274391616458</v>
      </c>
      <c r="M1004">
        <v>23.17</v>
      </c>
      <c r="N1004">
        <v>14.09</v>
      </c>
    </row>
    <row r="1005" spans="1:14">
      <c r="A1005" s="1" t="s">
        <v>1017</v>
      </c>
      <c r="B1005">
        <f>HYPERLINK("https://www.suredividend.com/sure-analysis-LXP/","LXP Industrial Trust")</f>
        <v>0</v>
      </c>
      <c r="C1005" t="s">
        <v>1929</v>
      </c>
      <c r="D1005">
        <v>8.970000000000001</v>
      </c>
      <c r="E1005">
        <v>0.05351170568561872</v>
      </c>
      <c r="F1005">
        <v>0.1162790697674418</v>
      </c>
      <c r="G1005">
        <v>-0.07530911271467966</v>
      </c>
      <c r="H1005">
        <v>0.4718560198487911</v>
      </c>
      <c r="I1005">
        <v>2510.658051</v>
      </c>
      <c r="J1005">
        <v>7.993104336252759</v>
      </c>
      <c r="K1005">
        <v>0.4369037220822139</v>
      </c>
      <c r="L1005">
        <v>0.701105520568844</v>
      </c>
      <c r="M1005">
        <v>15.65</v>
      </c>
      <c r="N1005">
        <v>8.699999999999999</v>
      </c>
    </row>
    <row r="1006" spans="1:14">
      <c r="A1006" s="1" t="s">
        <v>1018</v>
      </c>
      <c r="B1006">
        <f>HYPERLINK("https://www.suredividend.com/sure-analysis-research-database/","Lexicon Pharmaceuticals Inc")</f>
        <v>0</v>
      </c>
      <c r="C1006" t="s">
        <v>1922</v>
      </c>
      <c r="D1006">
        <v>2.15</v>
      </c>
      <c r="E1006">
        <v>0</v>
      </c>
      <c r="H1006">
        <v>0</v>
      </c>
      <c r="I1006">
        <v>394.795347</v>
      </c>
      <c r="J1006" t="s">
        <v>1921</v>
      </c>
      <c r="K1006">
        <v>-0</v>
      </c>
      <c r="L1006">
        <v>1.541178194170903</v>
      </c>
      <c r="M1006">
        <v>6.33</v>
      </c>
      <c r="N1006">
        <v>1.31</v>
      </c>
    </row>
    <row r="1007" spans="1:14">
      <c r="A1007" s="1" t="s">
        <v>1019</v>
      </c>
      <c r="B1007">
        <f>HYPERLINK("https://www.suredividend.com/sure-analysis-research-database/","Lyell Immunopharma Inc")</f>
        <v>0</v>
      </c>
      <c r="C1007" t="s">
        <v>1921</v>
      </c>
      <c r="D1007">
        <v>6.91</v>
      </c>
      <c r="E1007">
        <v>0</v>
      </c>
      <c r="H1007">
        <v>0</v>
      </c>
      <c r="I1007">
        <v>1712.473141</v>
      </c>
      <c r="J1007">
        <v>0</v>
      </c>
      <c r="K1007" t="s">
        <v>1921</v>
      </c>
      <c r="L1007">
        <v>1.60394739993562</v>
      </c>
      <c r="M1007">
        <v>15.5</v>
      </c>
      <c r="N1007">
        <v>3.57</v>
      </c>
    </row>
    <row r="1008" spans="1:14">
      <c r="A1008" s="1" t="s">
        <v>1020</v>
      </c>
      <c r="B1008">
        <f>HYPERLINK("https://www.suredividend.com/sure-analysis-research-database/","La-Z-Boy Inc.")</f>
        <v>0</v>
      </c>
      <c r="C1008" t="s">
        <v>1927</v>
      </c>
      <c r="D1008">
        <v>22.5</v>
      </c>
      <c r="E1008">
        <v>0.029197566778655</v>
      </c>
      <c r="H1008">
        <v>0.656945252519752</v>
      </c>
      <c r="I1008">
        <v>968.314365</v>
      </c>
      <c r="J1008">
        <v>5.906624892489187</v>
      </c>
      <c r="K1008">
        <v>0.1751854006719339</v>
      </c>
      <c r="L1008">
        <v>1.01060358491698</v>
      </c>
      <c r="M1008">
        <v>39.31</v>
      </c>
      <c r="N1008">
        <v>22.05</v>
      </c>
    </row>
    <row r="1009" spans="1:14">
      <c r="A1009" s="1" t="s">
        <v>1021</v>
      </c>
      <c r="B1009">
        <f>HYPERLINK("https://www.suredividend.com/sure-analysis-M/","Macy`s Inc")</f>
        <v>0</v>
      </c>
      <c r="C1009" t="s">
        <v>1927</v>
      </c>
      <c r="D1009">
        <v>17.17</v>
      </c>
      <c r="E1009">
        <v>0.0366919044845661</v>
      </c>
      <c r="H1009">
        <v>0.614980800173347</v>
      </c>
      <c r="I1009">
        <v>4652.918492</v>
      </c>
      <c r="J1009">
        <v>3.015501290939728</v>
      </c>
      <c r="K1009">
        <v>0.1182655384948744</v>
      </c>
      <c r="L1009">
        <v>1.812981664392134</v>
      </c>
      <c r="M1009">
        <v>36.85</v>
      </c>
      <c r="N1009">
        <v>15.1</v>
      </c>
    </row>
    <row r="1010" spans="1:14">
      <c r="A1010" s="1" t="s">
        <v>1022</v>
      </c>
      <c r="B1010">
        <f>HYPERLINK("https://www.suredividend.com/sure-analysis-MAC/","Macerich Co.")</f>
        <v>0</v>
      </c>
      <c r="C1010" t="s">
        <v>1929</v>
      </c>
      <c r="D1010">
        <v>8.48</v>
      </c>
      <c r="E1010">
        <v>0.07075471698113207</v>
      </c>
      <c r="F1010">
        <v>0</v>
      </c>
      <c r="G1010">
        <v>-0.2732719757717713</v>
      </c>
      <c r="H1010">
        <v>0.589034976540424</v>
      </c>
      <c r="I1010">
        <v>1821.300438</v>
      </c>
      <c r="J1010">
        <v>50.29966134386479</v>
      </c>
      <c r="K1010">
        <v>3.487477658617075</v>
      </c>
      <c r="L1010">
        <v>1.454402403931097</v>
      </c>
      <c r="M1010">
        <v>21.95</v>
      </c>
      <c r="N1010">
        <v>7.4</v>
      </c>
    </row>
    <row r="1011" spans="1:14">
      <c r="A1011" s="1" t="s">
        <v>1023</v>
      </c>
      <c r="B1011">
        <f>HYPERLINK("https://www.suredividend.com/sure-analysis-research-database/","Mantech International Corp")</f>
        <v>0</v>
      </c>
      <c r="C1011" t="s">
        <v>1920</v>
      </c>
      <c r="D1011">
        <v>95.98</v>
      </c>
      <c r="E1011">
        <v>0</v>
      </c>
      <c r="H1011">
        <v>1.199999988079071</v>
      </c>
      <c r="I1011">
        <v>0</v>
      </c>
      <c r="J1011">
        <v>0</v>
      </c>
      <c r="K1011">
        <v>0.4026845597580775</v>
      </c>
    </row>
    <row r="1012" spans="1:14">
      <c r="A1012" s="1" t="s">
        <v>1024</v>
      </c>
      <c r="B1012">
        <f>HYPERLINK("https://www.suredividend.com/sure-analysis-research-database/","Marathon Digital Holdings Inc")</f>
        <v>0</v>
      </c>
      <c r="C1012" t="s">
        <v>1923</v>
      </c>
      <c r="D1012">
        <v>10.76</v>
      </c>
      <c r="E1012">
        <v>0</v>
      </c>
      <c r="H1012">
        <v>0</v>
      </c>
      <c r="I1012">
        <v>1256.879958</v>
      </c>
      <c r="J1012">
        <v>0</v>
      </c>
      <c r="K1012" t="s">
        <v>1921</v>
      </c>
      <c r="L1012">
        <v>3.375448584401157</v>
      </c>
      <c r="M1012">
        <v>83.45</v>
      </c>
      <c r="N1012">
        <v>5.2</v>
      </c>
    </row>
    <row r="1013" spans="1:14">
      <c r="A1013" s="1" t="s">
        <v>1025</v>
      </c>
      <c r="B1013">
        <f>HYPERLINK("https://www.suredividend.com/sure-analysis-research-database/","908 Devices Inc")</f>
        <v>0</v>
      </c>
      <c r="C1013" t="s">
        <v>1921</v>
      </c>
      <c r="D1013">
        <v>14.8</v>
      </c>
      <c r="E1013">
        <v>0</v>
      </c>
      <c r="H1013">
        <v>0</v>
      </c>
      <c r="I1013">
        <v>467.53462</v>
      </c>
      <c r="J1013">
        <v>0</v>
      </c>
      <c r="K1013" t="s">
        <v>1921</v>
      </c>
      <c r="L1013">
        <v>1.964863196013234</v>
      </c>
      <c r="M1013">
        <v>39.34</v>
      </c>
      <c r="N1013">
        <v>12.6</v>
      </c>
    </row>
    <row r="1014" spans="1:14">
      <c r="A1014" s="1" t="s">
        <v>1026</v>
      </c>
      <c r="B1014">
        <f>HYPERLINK("https://www.suredividend.com/sure-analysis-MATW/","Matthews International Corp.")</f>
        <v>0</v>
      </c>
      <c r="C1014" t="s">
        <v>1924</v>
      </c>
      <c r="D1014">
        <v>22.72</v>
      </c>
      <c r="E1014">
        <v>0.03873239436619719</v>
      </c>
      <c r="F1014">
        <v>0.02325581395348841</v>
      </c>
      <c r="G1014">
        <v>0.02975477857041309</v>
      </c>
      <c r="H1014">
        <v>0.8698651717904311</v>
      </c>
      <c r="I1014">
        <v>695.358028</v>
      </c>
      <c r="J1014" t="s">
        <v>1921</v>
      </c>
      <c r="K1014" t="s">
        <v>1921</v>
      </c>
      <c r="L1014">
        <v>0.8530663260802601</v>
      </c>
      <c r="M1014">
        <v>38.89</v>
      </c>
      <c r="N1014">
        <v>22.12</v>
      </c>
    </row>
    <row r="1015" spans="1:14">
      <c r="A1015" s="1" t="s">
        <v>1027</v>
      </c>
      <c r="B1015">
        <f>HYPERLINK("https://www.suredividend.com/sure-analysis-research-database/","Matson Inc")</f>
        <v>0</v>
      </c>
      <c r="C1015" t="s">
        <v>1924</v>
      </c>
      <c r="D1015">
        <v>65.55</v>
      </c>
      <c r="E1015">
        <v>0.018362540035886</v>
      </c>
      <c r="F1015">
        <v>0.03333333333333321</v>
      </c>
      <c r="G1015">
        <v>0.09160706958928855</v>
      </c>
      <c r="H1015">
        <v>1.203664499352351</v>
      </c>
      <c r="I1015">
        <v>2555.213858</v>
      </c>
      <c r="J1015">
        <v>1.828286962006296</v>
      </c>
      <c r="K1015">
        <v>0.03584468431662749</v>
      </c>
      <c r="L1015">
        <v>0.9883504201939051</v>
      </c>
      <c r="M1015">
        <v>124.45</v>
      </c>
      <c r="N1015">
        <v>60.35</v>
      </c>
    </row>
    <row r="1016" spans="1:14">
      <c r="A1016" s="1" t="s">
        <v>1028</v>
      </c>
      <c r="B1016">
        <f>HYPERLINK("https://www.suredividend.com/sure-analysis-research-database/","MediaAlpha Inc")</f>
        <v>0</v>
      </c>
      <c r="C1016" t="s">
        <v>1921</v>
      </c>
      <c r="D1016">
        <v>9.119999999999999</v>
      </c>
      <c r="E1016">
        <v>0</v>
      </c>
      <c r="H1016">
        <v>0</v>
      </c>
      <c r="I1016">
        <v>379.249728</v>
      </c>
      <c r="J1016">
        <v>0</v>
      </c>
      <c r="K1016" t="s">
        <v>1921</v>
      </c>
      <c r="L1016">
        <v>1.489100011962449</v>
      </c>
      <c r="M1016">
        <v>19.87</v>
      </c>
      <c r="N1016">
        <v>7.59</v>
      </c>
    </row>
    <row r="1017" spans="1:14">
      <c r="A1017" s="1" t="s">
        <v>1029</v>
      </c>
      <c r="B1017">
        <f>HYPERLINK("https://www.suredividend.com/sure-analysis-research-database/","Maxar Technologies Inc")</f>
        <v>0</v>
      </c>
      <c r="C1017" t="s">
        <v>1920</v>
      </c>
      <c r="D1017">
        <v>20.05</v>
      </c>
      <c r="E1017">
        <v>0.001993820630197</v>
      </c>
      <c r="H1017">
        <v>0.03997610363546</v>
      </c>
      <c r="I1017">
        <v>1477.90962</v>
      </c>
      <c r="J1017">
        <v>30.789783753125</v>
      </c>
      <c r="K1017">
        <v>0.06257020446933793</v>
      </c>
      <c r="L1017">
        <v>1.488226027601555</v>
      </c>
      <c r="M1017">
        <v>40.45</v>
      </c>
      <c r="N1017">
        <v>17.51</v>
      </c>
    </row>
    <row r="1018" spans="1:14">
      <c r="A1018" s="1" t="s">
        <v>1030</v>
      </c>
      <c r="B1018">
        <f>HYPERLINK("https://www.suredividend.com/sure-analysis-research-database/","MBIA Inc.")</f>
        <v>0</v>
      </c>
      <c r="C1018" t="s">
        <v>1923</v>
      </c>
      <c r="D1018">
        <v>9.6</v>
      </c>
      <c r="E1018">
        <v>0</v>
      </c>
      <c r="H1018">
        <v>0</v>
      </c>
      <c r="I1018">
        <v>527.039165</v>
      </c>
      <c r="J1018" t="s">
        <v>1921</v>
      </c>
      <c r="K1018">
        <v>-0</v>
      </c>
      <c r="L1018">
        <v>1.380662338110527</v>
      </c>
      <c r="M1018">
        <v>17.9</v>
      </c>
      <c r="N1018">
        <v>8.91</v>
      </c>
    </row>
    <row r="1019" spans="1:14">
      <c r="A1019" s="1" t="s">
        <v>1031</v>
      </c>
      <c r="B1019">
        <f>HYPERLINK("https://www.suredividend.com/sure-analysis-research-database/","Pro Farm Group Inc")</f>
        <v>0</v>
      </c>
      <c r="C1019" t="s">
        <v>1925</v>
      </c>
      <c r="D1019">
        <v>0.7981</v>
      </c>
      <c r="E1019">
        <v>0</v>
      </c>
      <c r="H1019">
        <v>0</v>
      </c>
      <c r="I1019">
        <v>0</v>
      </c>
      <c r="J1019">
        <v>0</v>
      </c>
      <c r="K1019" t="s">
        <v>1921</v>
      </c>
    </row>
    <row r="1020" spans="1:14">
      <c r="A1020" s="1" t="s">
        <v>1032</v>
      </c>
      <c r="B1020">
        <f>HYPERLINK("https://www.suredividend.com/sure-analysis-research-database/","Merchants Bancorp")</f>
        <v>0</v>
      </c>
      <c r="C1020" t="s">
        <v>1923</v>
      </c>
      <c r="D1020">
        <v>23.16</v>
      </c>
      <c r="E1020">
        <v>0.012894961056548</v>
      </c>
      <c r="F1020">
        <v>-0.2222222222222221</v>
      </c>
      <c r="G1020">
        <v>0.06961037572506878</v>
      </c>
      <c r="H1020">
        <v>0.29864729806967</v>
      </c>
      <c r="I1020">
        <v>998.3466560000001</v>
      </c>
      <c r="J1020">
        <v>0</v>
      </c>
      <c r="K1020" t="s">
        <v>1921</v>
      </c>
      <c r="L1020">
        <v>0.86370332083187</v>
      </c>
      <c r="M1020">
        <v>49.22</v>
      </c>
      <c r="N1020">
        <v>21.46</v>
      </c>
    </row>
    <row r="1021" spans="1:14">
      <c r="A1021" s="1" t="s">
        <v>1033</v>
      </c>
      <c r="B1021">
        <f>HYPERLINK("https://www.suredividend.com/sure-analysis-research-database/","Mustang Bio Inc")</f>
        <v>0</v>
      </c>
      <c r="C1021" t="s">
        <v>1922</v>
      </c>
      <c r="D1021">
        <v>0.4725</v>
      </c>
      <c r="E1021">
        <v>0</v>
      </c>
      <c r="H1021">
        <v>0</v>
      </c>
      <c r="I1021">
        <v>49.71723</v>
      </c>
      <c r="J1021">
        <v>0</v>
      </c>
      <c r="K1021" t="s">
        <v>1921</v>
      </c>
      <c r="L1021">
        <v>1.840681811020994</v>
      </c>
      <c r="M1021">
        <v>2.58</v>
      </c>
      <c r="N1021">
        <v>0.415</v>
      </c>
    </row>
    <row r="1022" spans="1:14">
      <c r="A1022" s="1" t="s">
        <v>1034</v>
      </c>
      <c r="B1022">
        <f>HYPERLINK("https://www.suredividend.com/sure-analysis-research-database/","Malibu Boats Inc")</f>
        <v>0</v>
      </c>
      <c r="C1022" t="s">
        <v>1927</v>
      </c>
      <c r="D1022">
        <v>47.27</v>
      </c>
      <c r="E1022">
        <v>0</v>
      </c>
      <c r="H1022">
        <v>0</v>
      </c>
      <c r="I1022">
        <v>963.526154</v>
      </c>
      <c r="J1022">
        <v>6.112503515783598</v>
      </c>
      <c r="K1022">
        <v>0</v>
      </c>
      <c r="L1022">
        <v>1.116628746990774</v>
      </c>
      <c r="M1022">
        <v>78.09999999999999</v>
      </c>
      <c r="N1022">
        <v>46.3</v>
      </c>
    </row>
    <row r="1023" spans="1:14">
      <c r="A1023" s="1" t="s">
        <v>1035</v>
      </c>
      <c r="B1023">
        <f>HYPERLINK("https://www.suredividend.com/sure-analysis-research-database/","Mercantile Bank Corp.")</f>
        <v>0</v>
      </c>
      <c r="C1023" t="s">
        <v>1923</v>
      </c>
      <c r="D1023">
        <v>30.7</v>
      </c>
      <c r="E1023">
        <v>0.039835312514049</v>
      </c>
      <c r="F1023">
        <v>0.06666666666666643</v>
      </c>
      <c r="G1023">
        <v>0.1098883056567086</v>
      </c>
      <c r="H1023">
        <v>1.222944094181312</v>
      </c>
      <c r="I1023">
        <v>486.935217</v>
      </c>
      <c r="J1023">
        <v>9.754311245993589</v>
      </c>
      <c r="K1023">
        <v>0.3870076247409215</v>
      </c>
      <c r="L1023">
        <v>0.5456069671460141</v>
      </c>
      <c r="M1023">
        <v>38.92</v>
      </c>
      <c r="N1023">
        <v>29.26</v>
      </c>
    </row>
    <row r="1024" spans="1:14">
      <c r="A1024" s="1" t="s">
        <v>1036</v>
      </c>
      <c r="B1024">
        <f>HYPERLINK("https://www.suredividend.com/sure-analysis-research-database/","Moelis &amp; Co")</f>
        <v>0</v>
      </c>
      <c r="C1024" t="s">
        <v>1923</v>
      </c>
      <c r="D1024">
        <v>36.23</v>
      </c>
      <c r="E1024">
        <v>0.06493896506158001</v>
      </c>
      <c r="F1024">
        <v>0</v>
      </c>
      <c r="G1024">
        <v>-0.1365280232466891</v>
      </c>
      <c r="H1024">
        <v>2.352738704181057</v>
      </c>
      <c r="I1024">
        <v>2321.423301</v>
      </c>
      <c r="J1024">
        <v>7.164422372161063</v>
      </c>
      <c r="K1024">
        <v>0.5081509080304659</v>
      </c>
      <c r="L1024">
        <v>1.274606649110506</v>
      </c>
      <c r="M1024">
        <v>73.25</v>
      </c>
      <c r="N1024">
        <v>33.12</v>
      </c>
    </row>
    <row r="1025" spans="1:14">
      <c r="A1025" s="1" t="s">
        <v>1037</v>
      </c>
      <c r="B1025">
        <f>HYPERLINK("https://www.suredividend.com/sure-analysis-research-database/","Metropolitan Bank Holding Corp")</f>
        <v>0</v>
      </c>
      <c r="C1025" t="s">
        <v>1923</v>
      </c>
      <c r="D1025">
        <v>63.14</v>
      </c>
      <c r="E1025">
        <v>0</v>
      </c>
      <c r="H1025">
        <v>0</v>
      </c>
      <c r="I1025">
        <v>690.227349</v>
      </c>
      <c r="J1025">
        <v>0</v>
      </c>
      <c r="K1025" t="s">
        <v>1921</v>
      </c>
      <c r="L1025">
        <v>1.096249742229212</v>
      </c>
      <c r="M1025">
        <v>115.78</v>
      </c>
      <c r="N1025">
        <v>60.51</v>
      </c>
    </row>
    <row r="1026" spans="1:14">
      <c r="A1026" s="1" t="s">
        <v>1038</v>
      </c>
      <c r="B1026">
        <f>HYPERLINK("https://www.suredividend.com/sure-analysis-research-database/","Macatawa Bank Corp.")</f>
        <v>0</v>
      </c>
      <c r="C1026" t="s">
        <v>1923</v>
      </c>
      <c r="D1026">
        <v>9.390000000000001</v>
      </c>
      <c r="E1026">
        <v>0.03364248464837701</v>
      </c>
      <c r="F1026">
        <v>0</v>
      </c>
      <c r="G1026">
        <v>0.09856054330611763</v>
      </c>
      <c r="H1026">
        <v>0.315902930848262</v>
      </c>
      <c r="I1026">
        <v>321.63705</v>
      </c>
      <c r="J1026">
        <v>12.37732049295775</v>
      </c>
      <c r="K1026">
        <v>0.4161545657334502</v>
      </c>
      <c r="L1026">
        <v>0.309994493477157</v>
      </c>
      <c r="M1026">
        <v>10.28</v>
      </c>
      <c r="N1026">
        <v>7.69</v>
      </c>
    </row>
    <row r="1027" spans="1:14">
      <c r="A1027" s="1" t="s">
        <v>1039</v>
      </c>
      <c r="B1027">
        <f>HYPERLINK("https://www.suredividend.com/sure-analysis-research-database/","MetroCity Bankshares Inc")</f>
        <v>0</v>
      </c>
      <c r="C1027" t="s">
        <v>1923</v>
      </c>
      <c r="D1027">
        <v>19.93</v>
      </c>
      <c r="E1027">
        <v>0.029297896644503</v>
      </c>
      <c r="F1027">
        <v>0.25</v>
      </c>
      <c r="G1027">
        <v>0</v>
      </c>
      <c r="H1027">
        <v>0.5839070801249491</v>
      </c>
      <c r="I1027">
        <v>507.522153</v>
      </c>
      <c r="J1027">
        <v>0</v>
      </c>
      <c r="K1027" t="s">
        <v>1921</v>
      </c>
      <c r="L1027">
        <v>0.7753745696202431</v>
      </c>
      <c r="M1027">
        <v>29.22</v>
      </c>
      <c r="N1027">
        <v>18.48</v>
      </c>
    </row>
    <row r="1028" spans="1:14">
      <c r="A1028" s="1" t="s">
        <v>1040</v>
      </c>
      <c r="B1028">
        <f>HYPERLINK("https://www.suredividend.com/sure-analysis-research-database/","MasterCraft Boat Holdings Inc")</f>
        <v>0</v>
      </c>
      <c r="C1028" t="s">
        <v>1927</v>
      </c>
      <c r="D1028">
        <v>20.22</v>
      </c>
      <c r="E1028">
        <v>0</v>
      </c>
      <c r="H1028">
        <v>0</v>
      </c>
      <c r="I1028">
        <v>367.022036</v>
      </c>
      <c r="J1028">
        <v>6.304703953000995</v>
      </c>
      <c r="K1028">
        <v>0</v>
      </c>
      <c r="L1028">
        <v>1.044109651079944</v>
      </c>
      <c r="M1028">
        <v>29.69</v>
      </c>
      <c r="N1028">
        <v>18.49</v>
      </c>
    </row>
    <row r="1029" spans="1:14">
      <c r="A1029" s="1" t="s">
        <v>1041</v>
      </c>
      <c r="B1029">
        <f>HYPERLINK("https://www.suredividend.com/sure-analysis-research-database/","Seres Therapeutics Inc")</f>
        <v>0</v>
      </c>
      <c r="C1029" t="s">
        <v>1922</v>
      </c>
      <c r="D1029">
        <v>6.98</v>
      </c>
      <c r="E1029">
        <v>0</v>
      </c>
      <c r="H1029">
        <v>0</v>
      </c>
      <c r="I1029">
        <v>866.019454</v>
      </c>
      <c r="J1029" t="s">
        <v>1921</v>
      </c>
      <c r="K1029">
        <v>-0</v>
      </c>
      <c r="L1029">
        <v>1.513160708788318</v>
      </c>
      <c r="M1029">
        <v>11.69</v>
      </c>
      <c r="N1029">
        <v>2.5</v>
      </c>
    </row>
    <row r="1030" spans="1:14">
      <c r="A1030" s="1" t="s">
        <v>1042</v>
      </c>
      <c r="B1030">
        <f>HYPERLINK("https://www.suredividend.com/sure-analysis-research-database/","Monarch Casino &amp; Resort, Inc.")</f>
        <v>0</v>
      </c>
      <c r="C1030" t="s">
        <v>1927</v>
      </c>
      <c r="D1030">
        <v>58.5</v>
      </c>
      <c r="E1030">
        <v>0</v>
      </c>
      <c r="H1030">
        <v>0</v>
      </c>
      <c r="I1030">
        <v>1104.952095</v>
      </c>
      <c r="J1030">
        <v>13.85728379191853</v>
      </c>
      <c r="K1030">
        <v>0</v>
      </c>
      <c r="L1030">
        <v>1.119536728167378</v>
      </c>
      <c r="M1030">
        <v>94.26000000000001</v>
      </c>
      <c r="N1030">
        <v>54.01</v>
      </c>
    </row>
    <row r="1031" spans="1:14">
      <c r="A1031" s="1" t="s">
        <v>1043</v>
      </c>
      <c r="B1031">
        <f>HYPERLINK("https://www.suredividend.com/sure-analysis-research-database/","Marcus Corp.")</f>
        <v>0</v>
      </c>
      <c r="C1031" t="s">
        <v>1931</v>
      </c>
      <c r="D1031">
        <v>14.06</v>
      </c>
      <c r="E1031">
        <v>0.003556187819705</v>
      </c>
      <c r="H1031">
        <v>0.050000000745058</v>
      </c>
      <c r="I1031">
        <v>342.999493</v>
      </c>
      <c r="J1031">
        <v>151.7025620168067</v>
      </c>
      <c r="K1031">
        <v>0.7645260052761162</v>
      </c>
      <c r="L1031">
        <v>0.805428444668933</v>
      </c>
      <c r="M1031">
        <v>22.25</v>
      </c>
      <c r="N1031">
        <v>13.37</v>
      </c>
    </row>
    <row r="1032" spans="1:14">
      <c r="A1032" s="1" t="s">
        <v>1044</v>
      </c>
      <c r="B1032">
        <f>HYPERLINK("https://www.suredividend.com/sure-analysis-research-database/","Pediatrix Medical Group Inc")</f>
        <v>0</v>
      </c>
      <c r="C1032" t="s">
        <v>1922</v>
      </c>
      <c r="D1032">
        <v>16.43</v>
      </c>
      <c r="E1032">
        <v>0</v>
      </c>
      <c r="H1032">
        <v>0</v>
      </c>
      <c r="I1032">
        <v>1385.928662</v>
      </c>
      <c r="J1032">
        <v>16.4484347333816</v>
      </c>
      <c r="K1032">
        <v>0</v>
      </c>
      <c r="L1032">
        <v>0.8753028437457721</v>
      </c>
      <c r="M1032">
        <v>29.07</v>
      </c>
      <c r="N1032">
        <v>16.25</v>
      </c>
    </row>
    <row r="1033" spans="1:14">
      <c r="A1033" s="1" t="s">
        <v>1045</v>
      </c>
      <c r="B1033">
        <f>HYPERLINK("https://www.suredividend.com/sure-analysis-MDC/","M.D.C. Holdings, Inc.")</f>
        <v>0</v>
      </c>
      <c r="C1033" t="s">
        <v>1927</v>
      </c>
      <c r="D1033">
        <v>29.07</v>
      </c>
      <c r="E1033">
        <v>0.06879944960440317</v>
      </c>
      <c r="F1033">
        <v>0.25</v>
      </c>
      <c r="G1033">
        <v>0.1075663432482898</v>
      </c>
      <c r="H1033">
        <v>1.960264198748394</v>
      </c>
      <c r="I1033">
        <v>2068.509513</v>
      </c>
      <c r="J1033">
        <v>3.218383072269755</v>
      </c>
      <c r="K1033">
        <v>0.2225044493471503</v>
      </c>
      <c r="L1033">
        <v>1.239468223684191</v>
      </c>
      <c r="M1033">
        <v>54.37</v>
      </c>
      <c r="N1033">
        <v>27.26</v>
      </c>
    </row>
    <row r="1034" spans="1:14">
      <c r="A1034" s="1" t="s">
        <v>1046</v>
      </c>
      <c r="B1034">
        <f>HYPERLINK("https://www.suredividend.com/sure-analysis-research-database/","Madrigal Pharmaceuticals Inc")</f>
        <v>0</v>
      </c>
      <c r="C1034" t="s">
        <v>1922</v>
      </c>
      <c r="D1034">
        <v>69.79000000000001</v>
      </c>
      <c r="E1034">
        <v>0</v>
      </c>
      <c r="H1034">
        <v>0</v>
      </c>
      <c r="I1034">
        <v>1193.645937</v>
      </c>
      <c r="J1034">
        <v>0</v>
      </c>
      <c r="K1034" t="s">
        <v>1921</v>
      </c>
      <c r="L1034">
        <v>1.120836654272752</v>
      </c>
      <c r="M1034">
        <v>105.93</v>
      </c>
      <c r="N1034">
        <v>52.33</v>
      </c>
    </row>
    <row r="1035" spans="1:14">
      <c r="A1035" s="1" t="s">
        <v>1047</v>
      </c>
      <c r="B1035">
        <f>HYPERLINK("https://www.suredividend.com/sure-analysis-research-database/","Allscripts Healthcare Solutions Inc")</f>
        <v>0</v>
      </c>
      <c r="C1035" t="s">
        <v>1922</v>
      </c>
      <c r="D1035">
        <v>14.32</v>
      </c>
      <c r="E1035">
        <v>0</v>
      </c>
      <c r="H1035">
        <v>0</v>
      </c>
      <c r="I1035">
        <v>1586.549459</v>
      </c>
      <c r="J1035">
        <v>25.47200750088302</v>
      </c>
      <c r="K1035">
        <v>0</v>
      </c>
      <c r="L1035">
        <v>0.6725202029881191</v>
      </c>
      <c r="M1035">
        <v>23.25</v>
      </c>
      <c r="N1035">
        <v>13.1</v>
      </c>
    </row>
    <row r="1036" spans="1:14">
      <c r="A1036" s="1" t="s">
        <v>1048</v>
      </c>
      <c r="B1036">
        <f>HYPERLINK("https://www.suredividend.com/sure-analysis-research-database/","MedAvail Holdings Inc")</f>
        <v>0</v>
      </c>
      <c r="C1036" t="s">
        <v>1921</v>
      </c>
      <c r="D1036">
        <v>0.898</v>
      </c>
      <c r="E1036">
        <v>0</v>
      </c>
      <c r="H1036">
        <v>0</v>
      </c>
      <c r="I1036">
        <v>71.85952</v>
      </c>
      <c r="J1036">
        <v>0</v>
      </c>
      <c r="K1036" t="s">
        <v>1921</v>
      </c>
      <c r="L1036">
        <v>0.550726075792347</v>
      </c>
      <c r="M1036">
        <v>3.56</v>
      </c>
      <c r="N1036">
        <v>0.7010000000000001</v>
      </c>
    </row>
    <row r="1037" spans="1:14">
      <c r="A1037" s="1" t="s">
        <v>1049</v>
      </c>
      <c r="B1037">
        <f>HYPERLINK("https://www.suredividend.com/sure-analysis-research-database/","Mimedx Group Inc")</f>
        <v>0</v>
      </c>
      <c r="C1037" t="s">
        <v>1922</v>
      </c>
      <c r="D1037">
        <v>2.89</v>
      </c>
      <c r="E1037">
        <v>0</v>
      </c>
      <c r="H1037">
        <v>0</v>
      </c>
      <c r="I1037">
        <v>328.328874</v>
      </c>
      <c r="J1037" t="s">
        <v>1921</v>
      </c>
      <c r="K1037">
        <v>-0</v>
      </c>
      <c r="L1037">
        <v>1.600160479309124</v>
      </c>
      <c r="M1037">
        <v>8.699999999999999</v>
      </c>
      <c r="N1037">
        <v>2.68</v>
      </c>
    </row>
    <row r="1038" spans="1:14">
      <c r="A1038" s="1" t="s">
        <v>1050</v>
      </c>
      <c r="B1038">
        <f>HYPERLINK("https://www.suredividend.com/sure-analysis-research-database/","Mayville Engineering Company Inc")</f>
        <v>0</v>
      </c>
      <c r="C1038" t="s">
        <v>1924</v>
      </c>
      <c r="D1038">
        <v>6.6</v>
      </c>
      <c r="E1038">
        <v>0</v>
      </c>
      <c r="H1038">
        <v>0</v>
      </c>
      <c r="I1038">
        <v>135.515761</v>
      </c>
      <c r="J1038">
        <v>0</v>
      </c>
      <c r="K1038" t="s">
        <v>1921</v>
      </c>
      <c r="L1038">
        <v>0.8218297681148761</v>
      </c>
      <c r="M1038">
        <v>19.9</v>
      </c>
      <c r="N1038">
        <v>6.36</v>
      </c>
    </row>
    <row r="1039" spans="1:14">
      <c r="A1039" s="1" t="s">
        <v>1051</v>
      </c>
      <c r="B1039">
        <f>HYPERLINK("https://www.suredividend.com/sure-analysis-MED/","Medifast Inc")</f>
        <v>0</v>
      </c>
      <c r="C1039" t="s">
        <v>1927</v>
      </c>
      <c r="D1039">
        <v>115.71</v>
      </c>
      <c r="E1039">
        <v>0.05669345778238701</v>
      </c>
      <c r="F1039">
        <v>0.154929577464789</v>
      </c>
      <c r="G1039">
        <v>0.2785582595476348</v>
      </c>
      <c r="H1039">
        <v>6.235844026792395</v>
      </c>
      <c r="I1039">
        <v>1274.881093</v>
      </c>
      <c r="J1039">
        <v>8.125488966086463</v>
      </c>
      <c r="K1039">
        <v>0.4629431348769409</v>
      </c>
      <c r="L1039">
        <v>0.9136651824424531</v>
      </c>
      <c r="M1039">
        <v>226.72</v>
      </c>
      <c r="N1039">
        <v>107</v>
      </c>
    </row>
    <row r="1040" spans="1:14">
      <c r="A1040" s="1" t="s">
        <v>1052</v>
      </c>
      <c r="B1040">
        <f>HYPERLINK("https://www.suredividend.com/sure-analysis-research-database/","Medpace Holdings Inc")</f>
        <v>0</v>
      </c>
      <c r="C1040" t="s">
        <v>1922</v>
      </c>
      <c r="D1040">
        <v>158.6</v>
      </c>
      <c r="E1040">
        <v>0</v>
      </c>
      <c r="H1040">
        <v>0</v>
      </c>
      <c r="I1040">
        <v>4916.38367</v>
      </c>
      <c r="J1040">
        <v>23.52100348577416</v>
      </c>
      <c r="K1040">
        <v>0</v>
      </c>
      <c r="L1040">
        <v>1.286481313337421</v>
      </c>
      <c r="M1040">
        <v>231</v>
      </c>
      <c r="N1040">
        <v>126.95</v>
      </c>
    </row>
    <row r="1041" spans="1:14">
      <c r="A1041" s="1" t="s">
        <v>1053</v>
      </c>
      <c r="B1041">
        <f>HYPERLINK("https://www.suredividend.com/sure-analysis-research-database/","Montrose Environmental Group Inc")</f>
        <v>0</v>
      </c>
      <c r="C1041" t="s">
        <v>1921</v>
      </c>
      <c r="D1041">
        <v>35.7</v>
      </c>
      <c r="E1041">
        <v>0</v>
      </c>
      <c r="H1041">
        <v>0</v>
      </c>
      <c r="I1041">
        <v>1059.604453</v>
      </c>
      <c r="J1041">
        <v>0</v>
      </c>
      <c r="K1041" t="s">
        <v>1921</v>
      </c>
      <c r="L1041">
        <v>1.423040481251221</v>
      </c>
      <c r="M1041">
        <v>80.42</v>
      </c>
      <c r="N1041">
        <v>28.36</v>
      </c>
    </row>
    <row r="1042" spans="1:14">
      <c r="A1042" s="1" t="s">
        <v>1054</v>
      </c>
      <c r="B1042">
        <f>HYPERLINK("https://www.suredividend.com/sure-analysis-research-database/","Methode Electronics, Inc.")</f>
        <v>0</v>
      </c>
      <c r="C1042" t="s">
        <v>1920</v>
      </c>
      <c r="D1042">
        <v>36.29</v>
      </c>
      <c r="E1042">
        <v>0.015349000373911</v>
      </c>
      <c r="F1042">
        <v>0</v>
      </c>
      <c r="G1042">
        <v>0.09238846414037316</v>
      </c>
      <c r="H1042">
        <v>0.5570152235692361</v>
      </c>
      <c r="I1042">
        <v>1327.273726</v>
      </c>
      <c r="J1042">
        <v>14.03037765433404</v>
      </c>
      <c r="K1042">
        <v>0.2210377871306492</v>
      </c>
      <c r="L1042">
        <v>0.8475499733715691</v>
      </c>
      <c r="M1042">
        <v>49.43</v>
      </c>
      <c r="N1042">
        <v>33.91</v>
      </c>
    </row>
    <row r="1043" spans="1:14">
      <c r="A1043" s="1" t="s">
        <v>1055</v>
      </c>
      <c r="B1043">
        <f>HYPERLINK("https://www.suredividend.com/sure-analysis-research-database/","MEI Pharma Inc")</f>
        <v>0</v>
      </c>
      <c r="C1043" t="s">
        <v>1922</v>
      </c>
      <c r="D1043">
        <v>0.3761</v>
      </c>
      <c r="E1043">
        <v>0</v>
      </c>
      <c r="H1043">
        <v>0</v>
      </c>
      <c r="I1043">
        <v>50.119411</v>
      </c>
      <c r="J1043" t="s">
        <v>1921</v>
      </c>
      <c r="K1043">
        <v>-0</v>
      </c>
      <c r="L1043">
        <v>1.033209172412996</v>
      </c>
      <c r="M1043">
        <v>3.55</v>
      </c>
      <c r="N1043">
        <v>0.37</v>
      </c>
    </row>
    <row r="1044" spans="1:14">
      <c r="A1044" s="1" t="s">
        <v>1056</v>
      </c>
      <c r="B1044">
        <f>HYPERLINK("https://www.suredividend.com/sure-analysis-research-database/","Mesa Air Group Inc.")</f>
        <v>0</v>
      </c>
      <c r="C1044" t="s">
        <v>1924</v>
      </c>
      <c r="D1044">
        <v>1.525</v>
      </c>
      <c r="E1044">
        <v>0</v>
      </c>
      <c r="H1044">
        <v>0</v>
      </c>
      <c r="I1044">
        <v>55.350182</v>
      </c>
      <c r="J1044">
        <v>0</v>
      </c>
      <c r="K1044" t="s">
        <v>1921</v>
      </c>
      <c r="L1044">
        <v>1.637950039735826</v>
      </c>
      <c r="M1044">
        <v>9.18</v>
      </c>
      <c r="N1044">
        <v>1.49</v>
      </c>
    </row>
    <row r="1045" spans="1:14">
      <c r="A1045" s="1" t="s">
        <v>1057</v>
      </c>
      <c r="B1045">
        <f>HYPERLINK("https://www.suredividend.com/sure-analysis-research-database/","MFA Financial Inc")</f>
        <v>0</v>
      </c>
      <c r="C1045" t="s">
        <v>1929</v>
      </c>
      <c r="D1045">
        <v>7.25</v>
      </c>
      <c r="E1045">
        <v>0.228018703459966</v>
      </c>
      <c r="H1045">
        <v>1.653135600084754</v>
      </c>
      <c r="I1045">
        <v>738.024756</v>
      </c>
      <c r="J1045" t="s">
        <v>1921</v>
      </c>
      <c r="K1045" t="s">
        <v>1921</v>
      </c>
      <c r="L1045">
        <v>1.013290538117903</v>
      </c>
      <c r="M1045">
        <v>16.82</v>
      </c>
      <c r="N1045">
        <v>7.25</v>
      </c>
    </row>
    <row r="1046" spans="1:14">
      <c r="A1046" s="1" t="s">
        <v>1058</v>
      </c>
      <c r="B1046">
        <f>HYPERLINK("https://www.suredividend.com/sure-analysis-research-database/","Mistras Group Inc")</f>
        <v>0</v>
      </c>
      <c r="C1046" t="s">
        <v>1924</v>
      </c>
      <c r="D1046">
        <v>4.75</v>
      </c>
      <c r="E1046">
        <v>0</v>
      </c>
      <c r="H1046">
        <v>0</v>
      </c>
      <c r="I1046">
        <v>141.575251</v>
      </c>
      <c r="J1046">
        <v>55.19502962962963</v>
      </c>
      <c r="K1046">
        <v>0</v>
      </c>
      <c r="L1046">
        <v>0.718756718884063</v>
      </c>
      <c r="M1046">
        <v>11.29</v>
      </c>
      <c r="N1046">
        <v>4.39</v>
      </c>
    </row>
    <row r="1047" spans="1:14">
      <c r="A1047" s="1" t="s">
        <v>1059</v>
      </c>
      <c r="B1047">
        <f>HYPERLINK("https://www.suredividend.com/sure-analysis-MGEE/","MGE Energy, Inc.")</f>
        <v>0</v>
      </c>
      <c r="C1047" t="s">
        <v>1930</v>
      </c>
      <c r="D1047">
        <v>63.34</v>
      </c>
      <c r="E1047">
        <v>0.02447110830438901</v>
      </c>
      <c r="F1047">
        <v>0.05161290322580658</v>
      </c>
      <c r="G1047">
        <v>0.04789936894460256</v>
      </c>
      <c r="H1047">
        <v>1.558194134986351</v>
      </c>
      <c r="I1047">
        <v>2290.587856</v>
      </c>
      <c r="J1047">
        <v>21.99147310624244</v>
      </c>
      <c r="K1047">
        <v>0.5410396302035941</v>
      </c>
      <c r="L1047">
        <v>0.364552692263611</v>
      </c>
      <c r="M1047">
        <v>85.81999999999999</v>
      </c>
      <c r="N1047">
        <v>62.4</v>
      </c>
    </row>
    <row r="1048" spans="1:14">
      <c r="A1048" s="1" t="s">
        <v>1060</v>
      </c>
      <c r="B1048">
        <f>HYPERLINK("https://www.suredividend.com/sure-analysis-research-database/","Moneygram International Inc.")</f>
        <v>0</v>
      </c>
      <c r="C1048" t="s">
        <v>1923</v>
      </c>
      <c r="D1048">
        <v>10.55</v>
      </c>
      <c r="E1048">
        <v>0</v>
      </c>
      <c r="H1048">
        <v>0</v>
      </c>
      <c r="I1048">
        <v>1016.513389</v>
      </c>
      <c r="J1048" t="s">
        <v>1921</v>
      </c>
      <c r="K1048">
        <v>-0</v>
      </c>
      <c r="L1048">
        <v>0.421287078054025</v>
      </c>
      <c r="M1048">
        <v>10.87</v>
      </c>
      <c r="N1048">
        <v>5.06</v>
      </c>
    </row>
    <row r="1049" spans="1:14">
      <c r="A1049" s="1" t="s">
        <v>1061</v>
      </c>
      <c r="B1049">
        <f>HYPERLINK("https://www.suredividend.com/sure-analysis-research-database/","Magnite Inc")</f>
        <v>0</v>
      </c>
      <c r="C1049" t="s">
        <v>1921</v>
      </c>
      <c r="D1049">
        <v>6.7</v>
      </c>
      <c r="E1049">
        <v>0</v>
      </c>
      <c r="H1049">
        <v>0</v>
      </c>
      <c r="I1049">
        <v>890.674925</v>
      </c>
      <c r="J1049" t="s">
        <v>1921</v>
      </c>
      <c r="K1049">
        <v>-0</v>
      </c>
      <c r="L1049">
        <v>2.14229425574366</v>
      </c>
      <c r="M1049">
        <v>31.55</v>
      </c>
      <c r="N1049">
        <v>6.3</v>
      </c>
    </row>
    <row r="1050" spans="1:14">
      <c r="A1050" s="1" t="s">
        <v>1062</v>
      </c>
      <c r="B1050">
        <f>HYPERLINK("https://www.suredividend.com/sure-analysis-research-database/","Macrogenics Inc")</f>
        <v>0</v>
      </c>
      <c r="C1050" t="s">
        <v>1922</v>
      </c>
      <c r="D1050">
        <v>3.44</v>
      </c>
      <c r="E1050">
        <v>0</v>
      </c>
      <c r="H1050">
        <v>0</v>
      </c>
      <c r="I1050">
        <v>211.418238</v>
      </c>
      <c r="J1050">
        <v>0</v>
      </c>
      <c r="K1050" t="s">
        <v>1921</v>
      </c>
      <c r="L1050">
        <v>1.468831662263867</v>
      </c>
      <c r="M1050">
        <v>22.68</v>
      </c>
      <c r="N1050">
        <v>2.13</v>
      </c>
    </row>
    <row r="1051" spans="1:14">
      <c r="A1051" s="1" t="s">
        <v>1063</v>
      </c>
      <c r="B1051">
        <f>HYPERLINK("https://www.suredividend.com/sure-analysis-research-database/","MGP Ingredients, Inc.")</f>
        <v>0</v>
      </c>
      <c r="C1051" t="s">
        <v>1928</v>
      </c>
      <c r="D1051">
        <v>105.04</v>
      </c>
      <c r="E1051">
        <v>0.004561498724615001</v>
      </c>
      <c r="F1051">
        <v>0</v>
      </c>
      <c r="G1051">
        <v>0.2457309396155174</v>
      </c>
      <c r="H1051">
        <v>0.479139826033648</v>
      </c>
      <c r="I1051">
        <v>2310.181064</v>
      </c>
      <c r="J1051">
        <v>19.61254309616185</v>
      </c>
      <c r="K1051">
        <v>0.09057463630125671</v>
      </c>
      <c r="L1051">
        <v>0.6468752963198491</v>
      </c>
      <c r="M1051">
        <v>117.01</v>
      </c>
      <c r="N1051">
        <v>62.26</v>
      </c>
    </row>
    <row r="1052" spans="1:14">
      <c r="A1052" s="1" t="s">
        <v>1064</v>
      </c>
      <c r="B1052">
        <f>HYPERLINK("https://www.suredividend.com/sure-analysis-MGRC/","McGrath Rentcorp")</f>
        <v>0</v>
      </c>
      <c r="C1052" t="s">
        <v>1924</v>
      </c>
      <c r="D1052">
        <v>83.65000000000001</v>
      </c>
      <c r="E1052">
        <v>0.02175732217573222</v>
      </c>
      <c r="F1052">
        <v>0.04597701149425282</v>
      </c>
      <c r="G1052">
        <v>0.1184269147201447</v>
      </c>
      <c r="H1052">
        <v>1.764958132503813</v>
      </c>
      <c r="I1052">
        <v>2039.223297</v>
      </c>
      <c r="J1052">
        <v>21.10363655786565</v>
      </c>
      <c r="K1052">
        <v>0.4479589168791404</v>
      </c>
      <c r="L1052">
        <v>0.608933153100638</v>
      </c>
      <c r="M1052">
        <v>90.81999999999999</v>
      </c>
      <c r="N1052">
        <v>68.90000000000001</v>
      </c>
    </row>
    <row r="1053" spans="1:14">
      <c r="A1053" s="1" t="s">
        <v>1065</v>
      </c>
      <c r="B1053">
        <f>HYPERLINK("https://www.suredividend.com/sure-analysis-research-database/","Magenta Therapeutics Inc")</f>
        <v>0</v>
      </c>
      <c r="C1053" t="s">
        <v>1922</v>
      </c>
      <c r="D1053">
        <v>1.15</v>
      </c>
      <c r="E1053">
        <v>0</v>
      </c>
      <c r="H1053">
        <v>0</v>
      </c>
      <c r="I1053">
        <v>67.724059</v>
      </c>
      <c r="J1053">
        <v>0</v>
      </c>
      <c r="K1053" t="s">
        <v>1921</v>
      </c>
      <c r="L1053">
        <v>1.259939221989197</v>
      </c>
      <c r="M1053">
        <v>8.49</v>
      </c>
      <c r="N1053">
        <v>0.9231</v>
      </c>
    </row>
    <row r="1054" spans="1:14">
      <c r="A1054" s="1" t="s">
        <v>1066</v>
      </c>
      <c r="B1054">
        <f>HYPERLINK("https://www.suredividend.com/sure-analysis-research-database/","MeiraGTx Holdings plc")</f>
        <v>0</v>
      </c>
      <c r="C1054" t="s">
        <v>1922</v>
      </c>
      <c r="D1054">
        <v>7.71</v>
      </c>
      <c r="E1054">
        <v>0</v>
      </c>
      <c r="H1054">
        <v>0</v>
      </c>
      <c r="I1054">
        <v>344.719327</v>
      </c>
      <c r="J1054">
        <v>0</v>
      </c>
      <c r="K1054" t="s">
        <v>1921</v>
      </c>
      <c r="L1054">
        <v>1.318737265830752</v>
      </c>
      <c r="M1054">
        <v>24.89</v>
      </c>
      <c r="N1054">
        <v>6.59</v>
      </c>
    </row>
    <row r="1055" spans="1:14">
      <c r="A1055" s="1" t="s">
        <v>1067</v>
      </c>
      <c r="B1055">
        <f>HYPERLINK("https://www.suredividend.com/sure-analysis-research-database/","Magnolia Oil &amp; Gas Corp")</f>
        <v>0</v>
      </c>
      <c r="C1055" t="s">
        <v>1926</v>
      </c>
      <c r="D1055">
        <v>22.56</v>
      </c>
      <c r="E1055">
        <v>0.013258796269685</v>
      </c>
      <c r="H1055">
        <v>0.299118443844114</v>
      </c>
      <c r="I1055">
        <v>4260.541299</v>
      </c>
      <c r="J1055">
        <v>6.208755709741116</v>
      </c>
      <c r="K1055">
        <v>0.07934176229286843</v>
      </c>
      <c r="L1055">
        <v>0.9471565147482751</v>
      </c>
      <c r="M1055">
        <v>30.18</v>
      </c>
      <c r="N1055">
        <v>16.99</v>
      </c>
    </row>
    <row r="1056" spans="1:14">
      <c r="A1056" s="1" t="s">
        <v>1068</v>
      </c>
      <c r="B1056">
        <f>HYPERLINK("https://www.suredividend.com/sure-analysis-research-database/","Maiden Holdings Ltd")</f>
        <v>0</v>
      </c>
      <c r="C1056" t="s">
        <v>1923</v>
      </c>
      <c r="D1056">
        <v>2.16</v>
      </c>
      <c r="E1056">
        <v>0</v>
      </c>
      <c r="H1056">
        <v>0</v>
      </c>
      <c r="I1056">
        <v>188.268838</v>
      </c>
      <c r="J1056">
        <v>4.141690781177816</v>
      </c>
      <c r="K1056">
        <v>0</v>
      </c>
      <c r="L1056">
        <v>0.710411652557225</v>
      </c>
      <c r="M1056">
        <v>3.57</v>
      </c>
      <c r="N1056">
        <v>1.84</v>
      </c>
    </row>
    <row r="1057" spans="1:14">
      <c r="A1057" s="1" t="s">
        <v>1069</v>
      </c>
      <c r="B1057">
        <f>HYPERLINK("https://www.suredividend.com/sure-analysis-research-database/","MI Homes Inc.")</f>
        <v>0</v>
      </c>
      <c r="C1057" t="s">
        <v>1927</v>
      </c>
      <c r="D1057">
        <v>40.08</v>
      </c>
      <c r="E1057">
        <v>0</v>
      </c>
      <c r="H1057">
        <v>0</v>
      </c>
      <c r="I1057">
        <v>1112.644167</v>
      </c>
      <c r="J1057">
        <v>2.569189803635423</v>
      </c>
      <c r="K1057">
        <v>0</v>
      </c>
      <c r="L1057">
        <v>1.299242220677892</v>
      </c>
      <c r="M1057">
        <v>64.92</v>
      </c>
      <c r="N1057">
        <v>34.33</v>
      </c>
    </row>
    <row r="1058" spans="1:14">
      <c r="A1058" s="1" t="s">
        <v>1070</v>
      </c>
      <c r="B1058">
        <f>HYPERLINK("https://www.suredividend.com/sure-analysis-research-database/","Metromile Inc")</f>
        <v>0</v>
      </c>
      <c r="C1058" t="s">
        <v>1921</v>
      </c>
      <c r="D1058">
        <v>1.05</v>
      </c>
      <c r="E1058">
        <v>0</v>
      </c>
      <c r="H1058">
        <v>0</v>
      </c>
      <c r="I1058">
        <v>0</v>
      </c>
      <c r="J1058">
        <v>0</v>
      </c>
      <c r="K1058" t="s">
        <v>1921</v>
      </c>
    </row>
    <row r="1059" spans="1:14">
      <c r="A1059" s="1" t="s">
        <v>1071</v>
      </c>
      <c r="B1059">
        <f>HYPERLINK("https://www.suredividend.com/sure-analysis-research-database/","Mimecast Ltd")</f>
        <v>0</v>
      </c>
      <c r="C1059" t="s">
        <v>1920</v>
      </c>
      <c r="D1059">
        <v>79.92</v>
      </c>
      <c r="E1059">
        <v>0</v>
      </c>
      <c r="H1059">
        <v>0</v>
      </c>
      <c r="I1059">
        <v>0</v>
      </c>
      <c r="J1059">
        <v>0</v>
      </c>
      <c r="K1059">
        <v>0</v>
      </c>
    </row>
    <row r="1060" spans="1:14">
      <c r="A1060" s="1" t="s">
        <v>1072</v>
      </c>
      <c r="B1060">
        <f>HYPERLINK("https://www.suredividend.com/sure-analysis-research-database/","Mirum Pharmaceuticals Inc")</f>
        <v>0</v>
      </c>
      <c r="C1060" t="s">
        <v>1922</v>
      </c>
      <c r="D1060">
        <v>18.22</v>
      </c>
      <c r="E1060">
        <v>0</v>
      </c>
      <c r="H1060">
        <v>0</v>
      </c>
      <c r="I1060">
        <v>669.492497</v>
      </c>
      <c r="J1060">
        <v>0</v>
      </c>
      <c r="K1060" t="s">
        <v>1921</v>
      </c>
      <c r="L1060">
        <v>0.577395299549687</v>
      </c>
      <c r="M1060">
        <v>30.55</v>
      </c>
      <c r="N1060">
        <v>12.82</v>
      </c>
    </row>
    <row r="1061" spans="1:14">
      <c r="A1061" s="1" t="s">
        <v>1073</v>
      </c>
      <c r="B1061">
        <f>HYPERLINK("https://www.suredividend.com/sure-analysis-research-database/","Mitek Systems Inc")</f>
        <v>0</v>
      </c>
      <c r="C1061" t="s">
        <v>1920</v>
      </c>
      <c r="D1061">
        <v>10.32</v>
      </c>
      <c r="E1061">
        <v>0</v>
      </c>
      <c r="H1061">
        <v>0</v>
      </c>
      <c r="I1061">
        <v>457.660369</v>
      </c>
      <c r="J1061">
        <v>46.5717278111326</v>
      </c>
      <c r="K1061">
        <v>0</v>
      </c>
      <c r="L1061">
        <v>1.214098680582094</v>
      </c>
      <c r="M1061">
        <v>20.42</v>
      </c>
      <c r="N1061">
        <v>8.32</v>
      </c>
    </row>
    <row r="1062" spans="1:14">
      <c r="A1062" s="1" t="s">
        <v>1074</v>
      </c>
      <c r="B1062">
        <f>HYPERLINK("https://www.suredividend.com/sure-analysis-research-database/","Mesa Laboratories, Inc.")</f>
        <v>0</v>
      </c>
      <c r="C1062" t="s">
        <v>1920</v>
      </c>
      <c r="D1062">
        <v>131.17</v>
      </c>
      <c r="E1062">
        <v>0.004873199138530001</v>
      </c>
      <c r="H1062">
        <v>0.639217531001064</v>
      </c>
      <c r="I1062">
        <v>697.466306</v>
      </c>
      <c r="J1062" t="s">
        <v>1921</v>
      </c>
      <c r="K1062" t="s">
        <v>1921</v>
      </c>
      <c r="L1062">
        <v>0.8649191063011791</v>
      </c>
      <c r="M1062">
        <v>332.65</v>
      </c>
      <c r="N1062">
        <v>129.49</v>
      </c>
    </row>
    <row r="1063" spans="1:14">
      <c r="A1063" s="1" t="s">
        <v>1075</v>
      </c>
      <c r="B1063">
        <f>HYPERLINK("https://www.suredividend.com/sure-analysis-MLI/","Mueller Industries, Inc.")</f>
        <v>0</v>
      </c>
      <c r="C1063" t="s">
        <v>1924</v>
      </c>
      <c r="D1063">
        <v>62.18</v>
      </c>
      <c r="E1063">
        <v>0.01608234158893535</v>
      </c>
      <c r="F1063">
        <v>0.9230769230769229</v>
      </c>
      <c r="G1063">
        <v>0.2011244339814313</v>
      </c>
      <c r="H1063">
        <v>0.8752218136314921</v>
      </c>
      <c r="I1063">
        <v>3524.593585</v>
      </c>
      <c r="J1063">
        <v>5.328594623682249</v>
      </c>
      <c r="K1063">
        <v>0.07512633593403366</v>
      </c>
      <c r="L1063">
        <v>0.9287416615157331</v>
      </c>
      <c r="M1063">
        <v>70.09999999999999</v>
      </c>
      <c r="N1063">
        <v>41.3</v>
      </c>
    </row>
    <row r="1064" spans="1:14">
      <c r="A1064" s="1" t="s">
        <v>1076</v>
      </c>
      <c r="B1064">
        <f>HYPERLINK("https://www.suredividend.com/sure-analysis-research-database/","MillerKnoll Inc")</f>
        <v>0</v>
      </c>
      <c r="C1064" t="s">
        <v>1921</v>
      </c>
      <c r="D1064">
        <v>17.39</v>
      </c>
      <c r="E1064">
        <v>0.042716488491683</v>
      </c>
      <c r="H1064">
        <v>0.742839734870372</v>
      </c>
      <c r="I1064">
        <v>1313.400392</v>
      </c>
      <c r="J1064" t="s">
        <v>1921</v>
      </c>
      <c r="K1064" t="s">
        <v>1921</v>
      </c>
      <c r="L1064">
        <v>1.410045103589449</v>
      </c>
      <c r="M1064">
        <v>41.88</v>
      </c>
      <c r="N1064">
        <v>15.54</v>
      </c>
    </row>
    <row r="1065" spans="1:14">
      <c r="A1065" s="1" t="s">
        <v>1077</v>
      </c>
      <c r="B1065">
        <f>HYPERLINK("https://www.suredividend.com/sure-analysis-research-database/","MeridianLink Inc")</f>
        <v>0</v>
      </c>
      <c r="C1065" t="s">
        <v>1921</v>
      </c>
      <c r="D1065">
        <v>17.02</v>
      </c>
      <c r="E1065">
        <v>0</v>
      </c>
      <c r="H1065">
        <v>0</v>
      </c>
      <c r="I1065">
        <v>1375.040149</v>
      </c>
      <c r="J1065">
        <v>0</v>
      </c>
      <c r="K1065" t="s">
        <v>1921</v>
      </c>
      <c r="L1065">
        <v>1.138754074035877</v>
      </c>
      <c r="M1065">
        <v>26.4</v>
      </c>
      <c r="N1065">
        <v>13.81</v>
      </c>
    </row>
    <row r="1066" spans="1:14">
      <c r="A1066" s="1" t="s">
        <v>1078</v>
      </c>
      <c r="B1066">
        <f>HYPERLINK("https://www.suredividend.com/sure-analysis-MLR/","Miller Industries Inc.")</f>
        <v>0</v>
      </c>
      <c r="C1066" t="s">
        <v>1927</v>
      </c>
      <c r="D1066">
        <v>21.72</v>
      </c>
      <c r="E1066">
        <v>0.03314917127071823</v>
      </c>
      <c r="F1066">
        <v>0</v>
      </c>
      <c r="G1066">
        <v>0</v>
      </c>
      <c r="H1066">
        <v>0.712154659409971</v>
      </c>
      <c r="I1066">
        <v>247.971072</v>
      </c>
      <c r="J1066">
        <v>0</v>
      </c>
      <c r="K1066" t="s">
        <v>1921</v>
      </c>
      <c r="L1066">
        <v>0.5526750016794431</v>
      </c>
      <c r="M1066">
        <v>36.99</v>
      </c>
      <c r="N1066">
        <v>21</v>
      </c>
    </row>
    <row r="1067" spans="1:14">
      <c r="A1067" s="1" t="s">
        <v>1079</v>
      </c>
      <c r="B1067">
        <f>HYPERLINK("https://www.suredividend.com/sure-analysis-research-database/","Meta Materials Inc")</f>
        <v>0</v>
      </c>
      <c r="C1067" t="s">
        <v>1921</v>
      </c>
      <c r="D1067">
        <v>0.7497</v>
      </c>
      <c r="E1067">
        <v>0</v>
      </c>
      <c r="H1067">
        <v>0</v>
      </c>
      <c r="I1067">
        <v>270.519756</v>
      </c>
      <c r="J1067">
        <v>0</v>
      </c>
      <c r="K1067" t="s">
        <v>1921</v>
      </c>
      <c r="L1067">
        <v>1.464479688368806</v>
      </c>
      <c r="M1067">
        <v>5.49</v>
      </c>
      <c r="N1067">
        <v>0.63</v>
      </c>
    </row>
    <row r="1068" spans="1:14">
      <c r="A1068" s="1" t="s">
        <v>1080</v>
      </c>
      <c r="B1068">
        <f>HYPERLINK("https://www.suredividend.com/sure-analysis-research-database/","Marcus &amp; Millichap Inc")</f>
        <v>0</v>
      </c>
      <c r="C1068" t="s">
        <v>1929</v>
      </c>
      <c r="D1068">
        <v>33.63</v>
      </c>
      <c r="E1068">
        <v>0.014817518095123</v>
      </c>
      <c r="H1068">
        <v>0.498313133539004</v>
      </c>
      <c r="I1068">
        <v>1343.99914</v>
      </c>
      <c r="J1068">
        <v>7.865577774812579</v>
      </c>
      <c r="K1068">
        <v>0.1175266824384443</v>
      </c>
      <c r="L1068">
        <v>1.044037961391553</v>
      </c>
      <c r="M1068">
        <v>57.94</v>
      </c>
      <c r="N1068">
        <v>31.11</v>
      </c>
    </row>
    <row r="1069" spans="1:14">
      <c r="A1069" s="1" t="s">
        <v>1081</v>
      </c>
      <c r="B1069">
        <f>HYPERLINK("https://www.suredividend.com/sure-analysis-MMS/","Maximus Inc.")</f>
        <v>0</v>
      </c>
      <c r="C1069" t="s">
        <v>1924</v>
      </c>
      <c r="D1069">
        <v>57.68</v>
      </c>
      <c r="E1069">
        <v>0.01941747572815534</v>
      </c>
      <c r="F1069">
        <v>0</v>
      </c>
      <c r="G1069">
        <v>0.4414152200702743</v>
      </c>
      <c r="H1069">
        <v>1.112878204876794</v>
      </c>
      <c r="I1069">
        <v>3542.290708</v>
      </c>
      <c r="J1069">
        <v>18.96555057025833</v>
      </c>
      <c r="K1069">
        <v>0.370959401625598</v>
      </c>
      <c r="L1069">
        <v>0.7018643798947101</v>
      </c>
      <c r="M1069">
        <v>86.76000000000001</v>
      </c>
      <c r="N1069">
        <v>56.25</v>
      </c>
    </row>
    <row r="1070" spans="1:14">
      <c r="A1070" s="1" t="s">
        <v>1082</v>
      </c>
      <c r="B1070">
        <f>HYPERLINK("https://www.suredividend.com/sure-analysis-research-database/","Merit Medical Systems, Inc.")</f>
        <v>0</v>
      </c>
      <c r="C1070" t="s">
        <v>1922</v>
      </c>
      <c r="D1070">
        <v>56.45</v>
      </c>
      <c r="E1070">
        <v>0</v>
      </c>
      <c r="H1070">
        <v>0</v>
      </c>
      <c r="I1070">
        <v>3204.328477</v>
      </c>
      <c r="J1070">
        <v>54.84703759478288</v>
      </c>
      <c r="K1070">
        <v>0</v>
      </c>
      <c r="L1070">
        <v>0.9251940573503611</v>
      </c>
      <c r="M1070">
        <v>73.23999999999999</v>
      </c>
      <c r="N1070">
        <v>50.46</v>
      </c>
    </row>
    <row r="1071" spans="1:14">
      <c r="A1071" s="1" t="s">
        <v>1083</v>
      </c>
      <c r="B1071">
        <f>HYPERLINK("https://www.suredividend.com/sure-analysis-research-database/","Mannkind Corp")</f>
        <v>0</v>
      </c>
      <c r="C1071" t="s">
        <v>1922</v>
      </c>
      <c r="D1071">
        <v>3.08</v>
      </c>
      <c r="E1071">
        <v>0</v>
      </c>
      <c r="H1071">
        <v>0</v>
      </c>
      <c r="I1071">
        <v>777.901432</v>
      </c>
      <c r="J1071" t="s">
        <v>1921</v>
      </c>
      <c r="K1071">
        <v>-0</v>
      </c>
      <c r="L1071">
        <v>1.318458356742311</v>
      </c>
      <c r="M1071">
        <v>5.43</v>
      </c>
      <c r="N1071">
        <v>2.49</v>
      </c>
    </row>
    <row r="1072" spans="1:14">
      <c r="A1072" s="1" t="s">
        <v>1084</v>
      </c>
      <c r="B1072">
        <f>HYPERLINK("https://www.suredividend.com/sure-analysis-research-database/","Mind Medicine Inc")</f>
        <v>0</v>
      </c>
      <c r="C1072" t="s">
        <v>1921</v>
      </c>
      <c r="D1072">
        <v>3</v>
      </c>
      <c r="E1072">
        <v>0</v>
      </c>
      <c r="H1072">
        <v>0</v>
      </c>
      <c r="I1072">
        <v>112.642443</v>
      </c>
      <c r="J1072">
        <v>0</v>
      </c>
      <c r="K1072" t="s">
        <v>1921</v>
      </c>
      <c r="M1072">
        <v>19.95</v>
      </c>
      <c r="N1072">
        <v>2.85</v>
      </c>
    </row>
    <row r="1073" spans="1:14">
      <c r="A1073" s="1" t="s">
        <v>1085</v>
      </c>
      <c r="B1073">
        <f>HYPERLINK("https://www.suredividend.com/sure-analysis-research-database/","Brigham Minerals Inc")</f>
        <v>0</v>
      </c>
      <c r="C1073" t="s">
        <v>1926</v>
      </c>
      <c r="D1073">
        <v>27.32</v>
      </c>
      <c r="E1073">
        <v>0.079688491329751</v>
      </c>
      <c r="H1073">
        <v>2.177089583128814</v>
      </c>
      <c r="I1073">
        <v>1467.659824</v>
      </c>
      <c r="J1073">
        <v>0</v>
      </c>
      <c r="K1073" t="s">
        <v>1921</v>
      </c>
      <c r="L1073">
        <v>0.672208787300534</v>
      </c>
      <c r="M1073">
        <v>32.93</v>
      </c>
      <c r="N1073">
        <v>18.49</v>
      </c>
    </row>
    <row r="1074" spans="1:14">
      <c r="A1074" s="1" t="s">
        <v>1086</v>
      </c>
      <c r="B1074">
        <f>HYPERLINK("https://www.suredividend.com/sure-analysis-research-database/","Monro Inc")</f>
        <v>0</v>
      </c>
      <c r="C1074" t="s">
        <v>1927</v>
      </c>
      <c r="D1074">
        <v>46.29</v>
      </c>
      <c r="E1074">
        <v>0.02313611465714</v>
      </c>
      <c r="F1074">
        <v>0.07692307692307709</v>
      </c>
      <c r="G1074">
        <v>0.09238846414037316</v>
      </c>
      <c r="H1074">
        <v>1.070970747479034</v>
      </c>
      <c r="I1074">
        <v>1490.409314</v>
      </c>
      <c r="J1074">
        <v>25.74865355631187</v>
      </c>
      <c r="K1074">
        <v>0.6299827926347258</v>
      </c>
      <c r="L1074">
        <v>0.9028463234390711</v>
      </c>
      <c r="M1074">
        <v>63.3</v>
      </c>
      <c r="N1074">
        <v>37.06</v>
      </c>
    </row>
    <row r="1075" spans="1:14">
      <c r="A1075" s="1" t="s">
        <v>1087</v>
      </c>
      <c r="B1075">
        <f>HYPERLINK("https://www.suredividend.com/sure-analysis-research-database/","Momentive Global Inc")</f>
        <v>0</v>
      </c>
      <c r="C1075" t="s">
        <v>1921</v>
      </c>
      <c r="D1075">
        <v>5.57</v>
      </c>
      <c r="E1075">
        <v>0</v>
      </c>
      <c r="H1075">
        <v>0</v>
      </c>
      <c r="I1075">
        <v>835.680357</v>
      </c>
      <c r="J1075" t="s">
        <v>1921</v>
      </c>
      <c r="K1075">
        <v>-0</v>
      </c>
      <c r="L1075">
        <v>1.442783536723978</v>
      </c>
      <c r="M1075">
        <v>25</v>
      </c>
      <c r="N1075">
        <v>5.3</v>
      </c>
    </row>
    <row r="1076" spans="1:14">
      <c r="A1076" s="1" t="s">
        <v>1088</v>
      </c>
      <c r="B1076">
        <f>HYPERLINK("https://www.suredividend.com/sure-analysis-research-database/","Modine Manufacturing Co.")</f>
        <v>0</v>
      </c>
      <c r="C1076" t="s">
        <v>1927</v>
      </c>
      <c r="D1076">
        <v>13.39</v>
      </c>
      <c r="E1076">
        <v>0</v>
      </c>
      <c r="H1076">
        <v>0</v>
      </c>
      <c r="I1076">
        <v>697.619</v>
      </c>
      <c r="J1076">
        <v>7.177150205761317</v>
      </c>
      <c r="K1076">
        <v>0</v>
      </c>
      <c r="L1076">
        <v>1.270872890008647</v>
      </c>
      <c r="M1076">
        <v>17.52</v>
      </c>
      <c r="N1076">
        <v>7.67</v>
      </c>
    </row>
    <row r="1077" spans="1:14">
      <c r="A1077" s="1" t="s">
        <v>1089</v>
      </c>
      <c r="B1077">
        <f>HYPERLINK("https://www.suredividend.com/sure-analysis-research-database/","Model N Inc")</f>
        <v>0</v>
      </c>
      <c r="C1077" t="s">
        <v>1920</v>
      </c>
      <c r="D1077">
        <v>33.66</v>
      </c>
      <c r="E1077">
        <v>0</v>
      </c>
      <c r="H1077">
        <v>0</v>
      </c>
      <c r="I1077">
        <v>1246.782489</v>
      </c>
      <c r="J1077">
        <v>0</v>
      </c>
      <c r="K1077" t="s">
        <v>1921</v>
      </c>
      <c r="L1077">
        <v>1.03865626133985</v>
      </c>
      <c r="M1077">
        <v>37.25</v>
      </c>
      <c r="N1077">
        <v>20.95</v>
      </c>
    </row>
    <row r="1078" spans="1:14">
      <c r="A1078" s="1" t="s">
        <v>1090</v>
      </c>
      <c r="B1078">
        <f>HYPERLINK("https://www.suredividend.com/sure-analysis-research-database/","ModivCare Inc")</f>
        <v>0</v>
      </c>
      <c r="C1078" t="s">
        <v>1921</v>
      </c>
      <c r="D1078">
        <v>95.40000000000001</v>
      </c>
      <c r="E1078">
        <v>0</v>
      </c>
      <c r="H1078">
        <v>0</v>
      </c>
      <c r="I1078">
        <v>1340.42972</v>
      </c>
      <c r="J1078" t="s">
        <v>1921</v>
      </c>
      <c r="K1078">
        <v>-0</v>
      </c>
      <c r="L1078">
        <v>1.137644346180802</v>
      </c>
      <c r="M1078">
        <v>176.77</v>
      </c>
      <c r="N1078">
        <v>80.55</v>
      </c>
    </row>
    <row r="1079" spans="1:14">
      <c r="A1079" s="1" t="s">
        <v>1091</v>
      </c>
      <c r="B1079">
        <f>HYPERLINK("https://www.suredividend.com/sure-analysis-research-database/","MidWestOne Financial Group Inc")</f>
        <v>0</v>
      </c>
      <c r="C1079" t="s">
        <v>1923</v>
      </c>
      <c r="D1079">
        <v>27.62</v>
      </c>
      <c r="E1079">
        <v>0.033557784389958</v>
      </c>
      <c r="F1079">
        <v>0.05555555555555558</v>
      </c>
      <c r="G1079">
        <v>0.06916058146346216</v>
      </c>
      <c r="H1079">
        <v>0.9268660048506461</v>
      </c>
      <c r="I1079">
        <v>431.439453</v>
      </c>
      <c r="J1079">
        <v>7.558107543401713</v>
      </c>
      <c r="K1079">
        <v>0.2560403328316702</v>
      </c>
      <c r="L1079">
        <v>0.5618097393665731</v>
      </c>
      <c r="M1079">
        <v>33.61</v>
      </c>
      <c r="N1079">
        <v>27.17</v>
      </c>
    </row>
    <row r="1080" spans="1:14">
      <c r="A1080" s="1" t="s">
        <v>1092</v>
      </c>
      <c r="B1080">
        <f>HYPERLINK("https://www.suredividend.com/sure-analysis-research-database/","Moog, Inc.")</f>
        <v>0</v>
      </c>
      <c r="C1080" t="s">
        <v>1921</v>
      </c>
      <c r="D1080">
        <v>74.89</v>
      </c>
      <c r="E1080">
        <v>0</v>
      </c>
      <c r="H1080">
        <v>1.014897578722234</v>
      </c>
      <c r="I1080">
        <v>2406.558505</v>
      </c>
      <c r="J1080">
        <v>0</v>
      </c>
      <c r="K1080" t="s">
        <v>1921</v>
      </c>
      <c r="L1080">
        <v>0.8284794631616721</v>
      </c>
    </row>
    <row r="1081" spans="1:14">
      <c r="A1081" s="1" t="s">
        <v>1093</v>
      </c>
      <c r="B1081">
        <f>HYPERLINK("https://www.suredividend.com/sure-analysis-research-database/","Morphic Holding Inc")</f>
        <v>0</v>
      </c>
      <c r="C1081" t="s">
        <v>1922</v>
      </c>
      <c r="D1081">
        <v>27.81</v>
      </c>
      <c r="E1081">
        <v>0</v>
      </c>
      <c r="H1081">
        <v>0</v>
      </c>
      <c r="I1081">
        <v>1070.047011</v>
      </c>
      <c r="J1081">
        <v>0</v>
      </c>
      <c r="K1081" t="s">
        <v>1921</v>
      </c>
      <c r="L1081">
        <v>1.562116905576672</v>
      </c>
      <c r="M1081">
        <v>68.75</v>
      </c>
      <c r="N1081">
        <v>19.23</v>
      </c>
    </row>
    <row r="1082" spans="1:14">
      <c r="A1082" s="1" t="s">
        <v>1094</v>
      </c>
      <c r="B1082">
        <f>HYPERLINK("https://www.suredividend.com/sure-analysis-research-database/","Movado Group, Inc.")</f>
        <v>0</v>
      </c>
      <c r="C1082" t="s">
        <v>1927</v>
      </c>
      <c r="D1082">
        <v>30.84</v>
      </c>
      <c r="E1082">
        <v>0.04188551640224501</v>
      </c>
      <c r="H1082">
        <v>1.291749325845262</v>
      </c>
      <c r="I1082">
        <v>490.024593</v>
      </c>
      <c r="J1082">
        <v>4.653781657043004</v>
      </c>
      <c r="K1082">
        <v>0.2870554057433916</v>
      </c>
      <c r="L1082">
        <v>1.346636966814204</v>
      </c>
      <c r="M1082">
        <v>47.46</v>
      </c>
      <c r="N1082">
        <v>27.72</v>
      </c>
    </row>
    <row r="1083" spans="1:14">
      <c r="A1083" s="1" t="s">
        <v>1095</v>
      </c>
      <c r="B1083">
        <f>HYPERLINK("https://www.suredividend.com/sure-analysis-research-database/","MP Materials Corporation")</f>
        <v>0</v>
      </c>
      <c r="C1083" t="s">
        <v>1921</v>
      </c>
      <c r="D1083">
        <v>30.32</v>
      </c>
      <c r="E1083">
        <v>0</v>
      </c>
      <c r="H1083">
        <v>0</v>
      </c>
      <c r="I1083">
        <v>5382.834882</v>
      </c>
      <c r="J1083">
        <v>0</v>
      </c>
      <c r="K1083" t="s">
        <v>1921</v>
      </c>
      <c r="L1083">
        <v>1.736816741774887</v>
      </c>
      <c r="M1083">
        <v>60.19</v>
      </c>
      <c r="N1083">
        <v>26.19</v>
      </c>
    </row>
    <row r="1084" spans="1:14">
      <c r="A1084" s="1" t="s">
        <v>1096</v>
      </c>
      <c r="B1084">
        <f>HYPERLINK("https://www.suredividend.com/sure-analysis-research-database/","Motorcar Parts of America Inc.")</f>
        <v>0</v>
      </c>
      <c r="C1084" t="s">
        <v>1927</v>
      </c>
      <c r="D1084">
        <v>15.78</v>
      </c>
      <c r="E1084">
        <v>0</v>
      </c>
      <c r="H1084">
        <v>0</v>
      </c>
      <c r="I1084">
        <v>303.374745</v>
      </c>
      <c r="J1084">
        <v>0</v>
      </c>
      <c r="K1084" t="s">
        <v>1921</v>
      </c>
      <c r="L1084">
        <v>0.92595438928713</v>
      </c>
      <c r="M1084">
        <v>20.62</v>
      </c>
      <c r="N1084">
        <v>12.59</v>
      </c>
    </row>
    <row r="1085" spans="1:14">
      <c r="A1085" s="1" t="s">
        <v>1097</v>
      </c>
      <c r="B1085">
        <f>HYPERLINK("https://www.suredividend.com/sure-analysis-research-database/","Mid Penn Bancorp, Inc.")</f>
        <v>0</v>
      </c>
      <c r="C1085" t="s">
        <v>1923</v>
      </c>
      <c r="D1085">
        <v>29.77</v>
      </c>
      <c r="E1085">
        <v>0.026585497610999</v>
      </c>
      <c r="F1085">
        <v>0</v>
      </c>
      <c r="G1085">
        <v>0.05922384104881218</v>
      </c>
      <c r="H1085">
        <v>0.7914502638794401</v>
      </c>
      <c r="I1085">
        <v>475.171354</v>
      </c>
      <c r="J1085">
        <v>0</v>
      </c>
      <c r="K1085" t="s">
        <v>1921</v>
      </c>
      <c r="L1085">
        <v>0.53120945922505</v>
      </c>
      <c r="M1085">
        <v>33.17</v>
      </c>
      <c r="N1085">
        <v>24.64</v>
      </c>
    </row>
    <row r="1086" spans="1:14">
      <c r="A1086" s="1" t="s">
        <v>1098</v>
      </c>
      <c r="B1086">
        <f>HYPERLINK("https://www.suredividend.com/sure-analysis-research-database/","MultiPlan Corp")</f>
        <v>0</v>
      </c>
      <c r="C1086" t="s">
        <v>1921</v>
      </c>
      <c r="D1086">
        <v>2.72</v>
      </c>
      <c r="E1086">
        <v>0</v>
      </c>
      <c r="H1086">
        <v>0</v>
      </c>
      <c r="I1086">
        <v>1738.281408</v>
      </c>
      <c r="J1086">
        <v>0</v>
      </c>
      <c r="K1086" t="s">
        <v>1921</v>
      </c>
      <c r="L1086">
        <v>0.9626582525400541</v>
      </c>
      <c r="M1086">
        <v>6.19</v>
      </c>
      <c r="N1086">
        <v>2.62</v>
      </c>
    </row>
    <row r="1087" spans="1:14">
      <c r="A1087" s="1" t="s">
        <v>1099</v>
      </c>
      <c r="B1087">
        <f>HYPERLINK("https://www.suredividend.com/sure-analysis-research-database/","Marine Products Corp")</f>
        <v>0</v>
      </c>
      <c r="C1087" t="s">
        <v>1927</v>
      </c>
      <c r="D1087">
        <v>8.699999999999999</v>
      </c>
      <c r="E1087">
        <v>0.05434094364364701</v>
      </c>
      <c r="F1087">
        <v>0</v>
      </c>
      <c r="G1087">
        <v>0.03713728933664817</v>
      </c>
      <c r="H1087">
        <v>0.472766209699732</v>
      </c>
      <c r="I1087">
        <v>297.873923</v>
      </c>
      <c r="J1087">
        <v>9.454214092106517</v>
      </c>
      <c r="K1087">
        <v>0.510877685000791</v>
      </c>
      <c r="L1087">
        <v>1.057921815998148</v>
      </c>
      <c r="M1087">
        <v>13.38</v>
      </c>
      <c r="N1087">
        <v>7.75</v>
      </c>
    </row>
    <row r="1088" spans="1:14">
      <c r="A1088" s="1" t="s">
        <v>1100</v>
      </c>
      <c r="B1088">
        <f>HYPERLINK("https://www.suredividend.com/sure-analysis-research-database/","MRC Global Inc")</f>
        <v>0</v>
      </c>
      <c r="C1088" t="s">
        <v>1926</v>
      </c>
      <c r="D1088">
        <v>8.220000000000001</v>
      </c>
      <c r="E1088">
        <v>0</v>
      </c>
      <c r="H1088">
        <v>0</v>
      </c>
      <c r="I1088">
        <v>686.2340819999999</v>
      </c>
      <c r="J1088" t="s">
        <v>1921</v>
      </c>
      <c r="K1088">
        <v>-0</v>
      </c>
      <c r="L1088">
        <v>0.882340133193491</v>
      </c>
      <c r="M1088">
        <v>13.45</v>
      </c>
      <c r="N1088">
        <v>6.38</v>
      </c>
    </row>
    <row r="1089" spans="1:14">
      <c r="A1089" s="1" t="s">
        <v>1101</v>
      </c>
      <c r="B1089">
        <f>HYPERLINK("https://www.suredividend.com/sure-analysis-research-database/","Marinus Pharmaceuticals Inc")</f>
        <v>0</v>
      </c>
      <c r="C1089" t="s">
        <v>1922</v>
      </c>
      <c r="D1089">
        <v>6.73</v>
      </c>
      <c r="E1089">
        <v>0</v>
      </c>
      <c r="H1089">
        <v>0</v>
      </c>
      <c r="I1089">
        <v>250.35028</v>
      </c>
      <c r="J1089">
        <v>0</v>
      </c>
      <c r="K1089" t="s">
        <v>1921</v>
      </c>
      <c r="L1089">
        <v>1.634040705126601</v>
      </c>
      <c r="M1089">
        <v>13.15</v>
      </c>
      <c r="N1089">
        <v>3.97</v>
      </c>
    </row>
    <row r="1090" spans="1:14">
      <c r="A1090" s="1" t="s">
        <v>1102</v>
      </c>
      <c r="B1090">
        <f>HYPERLINK("https://www.suredividend.com/sure-analysis-research-database/","Mersana Therapeutics Inc")</f>
        <v>0</v>
      </c>
      <c r="C1090" t="s">
        <v>1922</v>
      </c>
      <c r="D1090">
        <v>6.83</v>
      </c>
      <c r="E1090">
        <v>0</v>
      </c>
      <c r="H1090">
        <v>0</v>
      </c>
      <c r="I1090">
        <v>663.666647</v>
      </c>
      <c r="J1090">
        <v>0</v>
      </c>
      <c r="K1090" t="s">
        <v>1921</v>
      </c>
      <c r="L1090">
        <v>1.289133549909227</v>
      </c>
      <c r="M1090">
        <v>10.01</v>
      </c>
      <c r="N1090">
        <v>2.68</v>
      </c>
    </row>
    <row r="1091" spans="1:14">
      <c r="A1091" s="1" t="s">
        <v>1103</v>
      </c>
      <c r="B1091">
        <f>HYPERLINK("https://www.suredividend.com/sure-analysis-research-database/","Marten Transport, Ltd.")</f>
        <v>0</v>
      </c>
      <c r="C1091" t="s">
        <v>1924</v>
      </c>
      <c r="D1091">
        <v>20.02</v>
      </c>
      <c r="E1091">
        <v>0.010941309289048</v>
      </c>
      <c r="F1091">
        <v>-0.88</v>
      </c>
      <c r="G1091">
        <v>0.1913578981670916</v>
      </c>
      <c r="H1091">
        <v>0.219045011966753</v>
      </c>
      <c r="I1091">
        <v>1621.997677</v>
      </c>
      <c r="J1091">
        <v>15.41852199946767</v>
      </c>
      <c r="K1091">
        <v>0.1724763873753961</v>
      </c>
      <c r="L1091">
        <v>0.727197523527748</v>
      </c>
      <c r="M1091">
        <v>23.36</v>
      </c>
      <c r="N1091">
        <v>14.69</v>
      </c>
    </row>
    <row r="1092" spans="1:14">
      <c r="A1092" s="1" t="s">
        <v>1104</v>
      </c>
      <c r="B1092">
        <f>HYPERLINK("https://www.suredividend.com/sure-analysis-research-database/","Midland States Bancorp Inc")</f>
        <v>0</v>
      </c>
      <c r="C1092" t="s">
        <v>1923</v>
      </c>
      <c r="D1092">
        <v>24.07</v>
      </c>
      <c r="E1092">
        <v>0.047038363484654</v>
      </c>
      <c r="F1092">
        <v>0.03571428571428559</v>
      </c>
      <c r="G1092">
        <v>0.07714358779274311</v>
      </c>
      <c r="H1092">
        <v>1.132213409075636</v>
      </c>
      <c r="I1092">
        <v>531.162896</v>
      </c>
      <c r="J1092">
        <v>6.227946764219635</v>
      </c>
      <c r="K1092">
        <v>0.2971688737731328</v>
      </c>
      <c r="L1092">
        <v>0.562645765123863</v>
      </c>
      <c r="M1092">
        <v>29.83</v>
      </c>
      <c r="N1092">
        <v>22.83</v>
      </c>
    </row>
    <row r="1093" spans="1:14">
      <c r="A1093" s="1" t="s">
        <v>1105</v>
      </c>
      <c r="B1093">
        <f>HYPERLINK("https://www.suredividend.com/sure-analysis-MSEX/","Middlesex Water Co.")</f>
        <v>0</v>
      </c>
      <c r="C1093" t="s">
        <v>1930</v>
      </c>
      <c r="D1093">
        <v>76.01000000000001</v>
      </c>
      <c r="E1093">
        <v>0.01526114984870412</v>
      </c>
      <c r="F1093">
        <v>0</v>
      </c>
      <c r="G1093">
        <v>0.05323914240517857</v>
      </c>
      <c r="H1093">
        <v>1.154520204806888</v>
      </c>
      <c r="I1093">
        <v>1338.520442</v>
      </c>
      <c r="J1093">
        <v>33.83434296251359</v>
      </c>
      <c r="K1093">
        <v>0.5154108057173608</v>
      </c>
      <c r="L1093">
        <v>0.46392428670513</v>
      </c>
      <c r="M1093">
        <v>120.28</v>
      </c>
      <c r="N1093">
        <v>74.2</v>
      </c>
    </row>
    <row r="1094" spans="1:14">
      <c r="A1094" s="1" t="s">
        <v>1106</v>
      </c>
      <c r="B1094">
        <f>HYPERLINK("https://www.suredividend.com/sure-analysis-research-database/","Madison Square Garden Entertainment Corp")</f>
        <v>0</v>
      </c>
      <c r="C1094" t="s">
        <v>1921</v>
      </c>
      <c r="D1094">
        <v>46.93</v>
      </c>
      <c r="E1094">
        <v>0</v>
      </c>
      <c r="H1094">
        <v>0</v>
      </c>
      <c r="I1094">
        <v>1285.028156</v>
      </c>
      <c r="J1094">
        <v>0</v>
      </c>
      <c r="K1094" t="s">
        <v>1921</v>
      </c>
      <c r="L1094">
        <v>1.048897479082813</v>
      </c>
      <c r="M1094">
        <v>85.59999999999999</v>
      </c>
      <c r="N1094">
        <v>43.44</v>
      </c>
    </row>
    <row r="1095" spans="1:14">
      <c r="A1095" s="1" t="s">
        <v>1107</v>
      </c>
      <c r="B1095">
        <f>HYPERLINK("https://www.suredividend.com/sure-analysis-research-database/","Microstrategy Inc.")</f>
        <v>0</v>
      </c>
      <c r="C1095" t="s">
        <v>1920</v>
      </c>
      <c r="D1095">
        <v>220.65</v>
      </c>
      <c r="E1095">
        <v>0</v>
      </c>
      <c r="H1095">
        <v>0</v>
      </c>
      <c r="I1095">
        <v>2061.333041</v>
      </c>
      <c r="J1095" t="s">
        <v>1921</v>
      </c>
      <c r="K1095">
        <v>-0</v>
      </c>
      <c r="L1095">
        <v>3.162602936210411</v>
      </c>
      <c r="M1095">
        <v>891.38</v>
      </c>
      <c r="N1095">
        <v>134.09</v>
      </c>
    </row>
    <row r="1096" spans="1:14">
      <c r="A1096" s="1" t="s">
        <v>1108</v>
      </c>
      <c r="B1096">
        <f>HYPERLINK("https://www.suredividend.com/sure-analysis-research-database/","Matador Resources Co")</f>
        <v>0</v>
      </c>
      <c r="C1096" t="s">
        <v>1926</v>
      </c>
      <c r="D1096">
        <v>61.44</v>
      </c>
      <c r="E1096">
        <v>0.004062416787626</v>
      </c>
      <c r="H1096">
        <v>0.249594887431757</v>
      </c>
      <c r="I1096">
        <v>7257.174958</v>
      </c>
      <c r="J1096">
        <v>6.969608895069435</v>
      </c>
      <c r="K1096">
        <v>0.02868906752089161</v>
      </c>
      <c r="L1096">
        <v>1.157699220879597</v>
      </c>
      <c r="M1096">
        <v>67.66</v>
      </c>
      <c r="N1096">
        <v>33.37</v>
      </c>
    </row>
    <row r="1097" spans="1:14">
      <c r="A1097" s="1" t="s">
        <v>1109</v>
      </c>
      <c r="B1097">
        <f>HYPERLINK("https://www.suredividend.com/sure-analysis-research-database/","Molecular Templates Inc")</f>
        <v>0</v>
      </c>
      <c r="C1097" t="s">
        <v>1922</v>
      </c>
      <c r="D1097">
        <v>0.6486000000000001</v>
      </c>
      <c r="E1097">
        <v>0</v>
      </c>
      <c r="H1097">
        <v>0</v>
      </c>
      <c r="I1097">
        <v>36.549678</v>
      </c>
      <c r="J1097" t="s">
        <v>1921</v>
      </c>
      <c r="K1097">
        <v>-0</v>
      </c>
      <c r="L1097">
        <v>1.579943667715756</v>
      </c>
      <c r="M1097">
        <v>6.98</v>
      </c>
      <c r="N1097">
        <v>0.63</v>
      </c>
    </row>
    <row r="1098" spans="1:14">
      <c r="A1098" s="1" t="s">
        <v>1110</v>
      </c>
      <c r="B1098">
        <f>HYPERLINK("https://www.suredividend.com/sure-analysis-research-database/","Meritage Homes Corp.")</f>
        <v>0</v>
      </c>
      <c r="C1098" t="s">
        <v>1927</v>
      </c>
      <c r="D1098">
        <v>73.13</v>
      </c>
      <c r="E1098">
        <v>0</v>
      </c>
      <c r="H1098">
        <v>0</v>
      </c>
      <c r="I1098">
        <v>2674.142882</v>
      </c>
      <c r="J1098">
        <v>2.953059336038871</v>
      </c>
      <c r="K1098">
        <v>0</v>
      </c>
      <c r="L1098">
        <v>1.217347075062078</v>
      </c>
      <c r="M1098">
        <v>125.01</v>
      </c>
      <c r="N1098">
        <v>62.51</v>
      </c>
    </row>
    <row r="1099" spans="1:14">
      <c r="A1099" s="1" t="s">
        <v>1111</v>
      </c>
      <c r="B1099">
        <f>HYPERLINK("https://www.suredividend.com/sure-analysis-research-database/","Meritor Inc")</f>
        <v>0</v>
      </c>
      <c r="C1099" t="s">
        <v>1927</v>
      </c>
      <c r="D1099">
        <v>36.5</v>
      </c>
      <c r="E1099">
        <v>0</v>
      </c>
      <c r="H1099">
        <v>0</v>
      </c>
      <c r="I1099">
        <v>2586.229364</v>
      </c>
      <c r="J1099">
        <v>11.75558801590909</v>
      </c>
      <c r="K1099">
        <v>0</v>
      </c>
      <c r="L1099">
        <v>0.264769734473721</v>
      </c>
      <c r="M1099">
        <v>36.5</v>
      </c>
      <c r="N1099">
        <v>20.5</v>
      </c>
    </row>
    <row r="1100" spans="1:14">
      <c r="A1100" s="1" t="s">
        <v>1112</v>
      </c>
      <c r="B1100">
        <f>HYPERLINK("https://www.suredividend.com/sure-analysis-research-database/","Materion Corp")</f>
        <v>0</v>
      </c>
      <c r="C1100" t="s">
        <v>1925</v>
      </c>
      <c r="D1100">
        <v>83.15000000000001</v>
      </c>
      <c r="E1100">
        <v>0.005878199094033001</v>
      </c>
      <c r="F1100">
        <v>0.04166666666666674</v>
      </c>
      <c r="G1100">
        <v>0.04563955259127317</v>
      </c>
      <c r="H1100">
        <v>0.488772254668889</v>
      </c>
      <c r="I1100">
        <v>1705.524157</v>
      </c>
      <c r="J1100">
        <v>22.70611155525675</v>
      </c>
      <c r="K1100">
        <v>0.1350199598532842</v>
      </c>
      <c r="L1100">
        <v>1.077062903838145</v>
      </c>
      <c r="M1100">
        <v>97.76000000000001</v>
      </c>
      <c r="N1100">
        <v>68.66</v>
      </c>
    </row>
    <row r="1101" spans="1:14">
      <c r="A1101" s="1" t="s">
        <v>1113</v>
      </c>
      <c r="B1101">
        <f>HYPERLINK("https://www.suredividend.com/sure-analysis-research-database/","Matrix Service Co.")</f>
        <v>0</v>
      </c>
      <c r="C1101" t="s">
        <v>1926</v>
      </c>
      <c r="D1101">
        <v>4.03</v>
      </c>
      <c r="E1101">
        <v>0</v>
      </c>
      <c r="H1101">
        <v>0</v>
      </c>
      <c r="I1101">
        <v>107.965771</v>
      </c>
      <c r="J1101" t="s">
        <v>1921</v>
      </c>
      <c r="K1101">
        <v>-0</v>
      </c>
      <c r="L1101">
        <v>0.988449252850752</v>
      </c>
      <c r="M1101">
        <v>11.76</v>
      </c>
      <c r="N1101">
        <v>3.31</v>
      </c>
    </row>
    <row r="1102" spans="1:14">
      <c r="A1102" s="1" t="s">
        <v>1114</v>
      </c>
      <c r="B1102">
        <f>HYPERLINK("https://www.suredividend.com/sure-analysis-research-database/","MACOM Technology Solutions Holdings Inc")</f>
        <v>0</v>
      </c>
      <c r="C1102" t="s">
        <v>1920</v>
      </c>
      <c r="D1102">
        <v>54.13</v>
      </c>
      <c r="E1102">
        <v>0</v>
      </c>
      <c r="H1102">
        <v>0</v>
      </c>
      <c r="I1102">
        <v>3788.950006</v>
      </c>
      <c r="J1102">
        <v>17.40061909073792</v>
      </c>
      <c r="K1102">
        <v>0</v>
      </c>
      <c r="L1102">
        <v>1.436321449886014</v>
      </c>
      <c r="M1102">
        <v>80.3</v>
      </c>
      <c r="N1102">
        <v>42.85</v>
      </c>
    </row>
    <row r="1103" spans="1:14">
      <c r="A1103" s="1" t="s">
        <v>1115</v>
      </c>
      <c r="B1103">
        <f>HYPERLINK("https://www.suredividend.com/sure-analysis-research-database/","Manitowoc Co., Inc.")</f>
        <v>0</v>
      </c>
      <c r="C1103" t="s">
        <v>1924</v>
      </c>
      <c r="D1103">
        <v>8.09</v>
      </c>
      <c r="E1103">
        <v>0</v>
      </c>
      <c r="H1103">
        <v>0</v>
      </c>
      <c r="I1103">
        <v>284.591776</v>
      </c>
      <c r="J1103">
        <v>19.76331774513889</v>
      </c>
      <c r="K1103">
        <v>0</v>
      </c>
      <c r="L1103">
        <v>1.411003624086711</v>
      </c>
      <c r="M1103">
        <v>23.26</v>
      </c>
      <c r="N1103">
        <v>7.66</v>
      </c>
    </row>
    <row r="1104" spans="1:14">
      <c r="A1104" s="1" t="s">
        <v>1116</v>
      </c>
      <c r="B1104">
        <f>HYPERLINK("https://www.suredividend.com/sure-analysis-research-database/","Minerals Technologies, Inc.")</f>
        <v>0</v>
      </c>
      <c r="C1104" t="s">
        <v>1925</v>
      </c>
      <c r="D1104">
        <v>51.43</v>
      </c>
      <c r="E1104">
        <v>0.003884401145593</v>
      </c>
      <c r="F1104">
        <v>0</v>
      </c>
      <c r="G1104">
        <v>0</v>
      </c>
      <c r="H1104">
        <v>0.199774750917892</v>
      </c>
      <c r="I1104">
        <v>1676.345061</v>
      </c>
      <c r="J1104">
        <v>9.768910611829837</v>
      </c>
      <c r="K1104">
        <v>0.03879121377046447</v>
      </c>
      <c r="L1104">
        <v>0.919090535510615</v>
      </c>
      <c r="M1104">
        <v>78.84999999999999</v>
      </c>
      <c r="N1104">
        <v>49.38</v>
      </c>
    </row>
    <row r="1105" spans="1:14">
      <c r="A1105" s="1" t="s">
        <v>1117</v>
      </c>
      <c r="B1105">
        <f>HYPERLINK("https://www.suredividend.com/sure-analysis-research-database/","Murphy Oil Corp.")</f>
        <v>0</v>
      </c>
      <c r="C1105" t="s">
        <v>1926</v>
      </c>
      <c r="D1105">
        <v>42.51</v>
      </c>
      <c r="E1105">
        <v>0.016343494871822</v>
      </c>
      <c r="F1105">
        <v>1</v>
      </c>
      <c r="G1105">
        <v>0</v>
      </c>
      <c r="H1105">
        <v>0.6947619670011951</v>
      </c>
      <c r="I1105">
        <v>6608.300143</v>
      </c>
      <c r="J1105">
        <v>12.85468936244959</v>
      </c>
      <c r="K1105">
        <v>0.2098978752269471</v>
      </c>
      <c r="L1105">
        <v>1.055423028078726</v>
      </c>
      <c r="M1105">
        <v>45.46</v>
      </c>
      <c r="N1105">
        <v>23.1</v>
      </c>
    </row>
    <row r="1106" spans="1:14">
      <c r="A1106" s="1" t="s">
        <v>1118</v>
      </c>
      <c r="B1106">
        <f>HYPERLINK("https://www.suredividend.com/sure-analysis-research-database/","Murphy USA Inc")</f>
        <v>0</v>
      </c>
      <c r="C1106" t="s">
        <v>1927</v>
      </c>
      <c r="D1106">
        <v>270.74</v>
      </c>
      <c r="E1106">
        <v>0.004461267316350001</v>
      </c>
      <c r="H1106">
        <v>1.207843513228722</v>
      </c>
      <c r="I1106">
        <v>6322.189983</v>
      </c>
      <c r="J1106">
        <v>11.52632631416591</v>
      </c>
      <c r="K1106">
        <v>0.05584112405125853</v>
      </c>
      <c r="L1106">
        <v>0.720856717136324</v>
      </c>
      <c r="M1106">
        <v>302.76</v>
      </c>
      <c r="N1106">
        <v>159.07</v>
      </c>
    </row>
    <row r="1107" spans="1:14">
      <c r="A1107" s="1" t="s">
        <v>1119</v>
      </c>
      <c r="B1107">
        <f>HYPERLINK("https://www.suredividend.com/sure-analysis-research-database/","MVB Financial Corp.")</f>
        <v>0</v>
      </c>
      <c r="C1107" t="s">
        <v>1923</v>
      </c>
      <c r="D1107">
        <v>26.31</v>
      </c>
      <c r="E1107">
        <v>0.024964504169086</v>
      </c>
      <c r="F1107">
        <v>0.2142857142857142</v>
      </c>
      <c r="G1107">
        <v>0.4672421091215282</v>
      </c>
      <c r="H1107">
        <v>0.656816104688676</v>
      </c>
      <c r="I1107">
        <v>321.745727</v>
      </c>
      <c r="J1107">
        <v>0</v>
      </c>
      <c r="K1107" t="s">
        <v>1921</v>
      </c>
      <c r="L1107">
        <v>0.591675904362946</v>
      </c>
      <c r="M1107">
        <v>43.99</v>
      </c>
      <c r="N1107">
        <v>26.3</v>
      </c>
    </row>
    <row r="1108" spans="1:14">
      <c r="A1108" s="1" t="s">
        <v>1120</v>
      </c>
      <c r="B1108">
        <f>HYPERLINK("https://www.suredividend.com/sure-analysis-research-database/","Microvision Inc.")</f>
        <v>0</v>
      </c>
      <c r="C1108" t="s">
        <v>1920</v>
      </c>
      <c r="D1108">
        <v>3.14</v>
      </c>
      <c r="E1108">
        <v>0</v>
      </c>
      <c r="H1108">
        <v>0</v>
      </c>
      <c r="I1108">
        <v>519.7596559999999</v>
      </c>
      <c r="J1108" t="s">
        <v>1921</v>
      </c>
      <c r="K1108">
        <v>-0</v>
      </c>
      <c r="L1108">
        <v>2.24431799344358</v>
      </c>
      <c r="M1108">
        <v>10.76</v>
      </c>
      <c r="N1108">
        <v>2.5</v>
      </c>
    </row>
    <row r="1109" spans="1:14">
      <c r="A1109" s="1" t="s">
        <v>1121</v>
      </c>
      <c r="B1109">
        <f>HYPERLINK("https://www.suredividend.com/sure-analysis-MWA/","Mueller Water Products Inc")</f>
        <v>0</v>
      </c>
      <c r="C1109" t="s">
        <v>1924</v>
      </c>
      <c r="D1109">
        <v>10.56</v>
      </c>
      <c r="E1109">
        <v>0.02178030303030303</v>
      </c>
      <c r="F1109">
        <v>0.05454545454545467</v>
      </c>
      <c r="G1109">
        <v>0.07714358779274311</v>
      </c>
      <c r="H1109">
        <v>0.23034272007426</v>
      </c>
      <c r="I1109">
        <v>1654.261879</v>
      </c>
      <c r="J1109">
        <v>18.81981659522184</v>
      </c>
      <c r="K1109">
        <v>0.4151067220657055</v>
      </c>
      <c r="L1109">
        <v>0.8789703030767571</v>
      </c>
      <c r="M1109">
        <v>17.07</v>
      </c>
      <c r="N1109">
        <v>9.9</v>
      </c>
    </row>
    <row r="1110" spans="1:14">
      <c r="A1110" s="1" t="s">
        <v>1122</v>
      </c>
      <c r="B1110">
        <f>HYPERLINK("https://www.suredividend.com/sure-analysis-research-database/","MaxCyte Inc")</f>
        <v>0</v>
      </c>
      <c r="C1110" t="s">
        <v>1921</v>
      </c>
      <c r="D1110">
        <v>6.51</v>
      </c>
      <c r="E1110">
        <v>0</v>
      </c>
      <c r="H1110">
        <v>0</v>
      </c>
      <c r="I1110">
        <v>0</v>
      </c>
      <c r="J1110">
        <v>0</v>
      </c>
      <c r="K1110" t="s">
        <v>1921</v>
      </c>
    </row>
    <row r="1111" spans="1:14">
      <c r="A1111" s="1" t="s">
        <v>1123</v>
      </c>
      <c r="B1111">
        <f>HYPERLINK("https://www.suredividend.com/sure-analysis-research-database/","MaxLinear Inc")</f>
        <v>0</v>
      </c>
      <c r="C1111" t="s">
        <v>1920</v>
      </c>
      <c r="D1111">
        <v>33.04</v>
      </c>
      <c r="E1111">
        <v>0</v>
      </c>
      <c r="H1111">
        <v>0</v>
      </c>
      <c r="I1111">
        <v>2588.139831</v>
      </c>
      <c r="J1111">
        <v>25.13098703901501</v>
      </c>
      <c r="K1111">
        <v>0</v>
      </c>
      <c r="L1111">
        <v>2.033774872668102</v>
      </c>
      <c r="M1111">
        <v>77.89</v>
      </c>
      <c r="N1111">
        <v>30.17</v>
      </c>
    </row>
    <row r="1112" spans="1:14">
      <c r="A1112" s="1" t="s">
        <v>1124</v>
      </c>
      <c r="B1112">
        <f>HYPERLINK("https://www.suredividend.com/sure-analysis-research-database/","Myers Industries Inc.")</f>
        <v>0</v>
      </c>
      <c r="C1112" t="s">
        <v>1927</v>
      </c>
      <c r="D1112">
        <v>16.54</v>
      </c>
      <c r="E1112">
        <v>0.032320499198037</v>
      </c>
      <c r="F1112">
        <v>0</v>
      </c>
      <c r="G1112">
        <v>0</v>
      </c>
      <c r="H1112">
        <v>0.534581056735545</v>
      </c>
      <c r="I1112">
        <v>603.188676</v>
      </c>
      <c r="J1112">
        <v>12.48165947398916</v>
      </c>
      <c r="K1112">
        <v>0.4049856490420795</v>
      </c>
      <c r="L1112">
        <v>0.7475388988230171</v>
      </c>
      <c r="M1112">
        <v>25.21</v>
      </c>
      <c r="N1112">
        <v>15.5</v>
      </c>
    </row>
    <row r="1113" spans="1:14">
      <c r="A1113" s="1" t="s">
        <v>1125</v>
      </c>
      <c r="B1113">
        <f>HYPERLINK("https://www.suredividend.com/sure-analysis-research-database/","Myriad Genetics, Inc.")</f>
        <v>0</v>
      </c>
      <c r="C1113" t="s">
        <v>1922</v>
      </c>
      <c r="D1113">
        <v>18.96</v>
      </c>
      <c r="E1113">
        <v>0</v>
      </c>
      <c r="H1113">
        <v>0</v>
      </c>
      <c r="I1113">
        <v>1528.835163</v>
      </c>
      <c r="J1113" t="s">
        <v>1921</v>
      </c>
      <c r="K1113">
        <v>-0</v>
      </c>
      <c r="L1113">
        <v>1.425242405068534</v>
      </c>
      <c r="M1113">
        <v>33.09</v>
      </c>
      <c r="N1113">
        <v>16.02</v>
      </c>
    </row>
    <row r="1114" spans="1:14">
      <c r="A1114" s="1" t="s">
        <v>1126</v>
      </c>
      <c r="B1114">
        <f>HYPERLINK("https://www.suredividend.com/sure-analysis-research-database/","MYR Group Inc")</f>
        <v>0</v>
      </c>
      <c r="C1114" t="s">
        <v>1924</v>
      </c>
      <c r="D1114">
        <v>86.23</v>
      </c>
      <c r="E1114">
        <v>0</v>
      </c>
      <c r="H1114">
        <v>0</v>
      </c>
      <c r="I1114">
        <v>1436.307069</v>
      </c>
      <c r="J1114">
        <v>17.05119093654657</v>
      </c>
      <c r="K1114">
        <v>0</v>
      </c>
      <c r="L1114">
        <v>0.7756801257304501</v>
      </c>
      <c r="M1114">
        <v>121.22</v>
      </c>
      <c r="N1114">
        <v>74.77</v>
      </c>
    </row>
    <row r="1115" spans="1:14">
      <c r="A1115" s="1" t="s">
        <v>1127</v>
      </c>
      <c r="B1115">
        <f>HYPERLINK("https://www.suredividend.com/sure-analysis-research-database/","Duckhorn Portfolio Inc (The)")</f>
        <v>0</v>
      </c>
      <c r="C1115" t="s">
        <v>1921</v>
      </c>
      <c r="D1115">
        <v>14.43</v>
      </c>
      <c r="E1115">
        <v>0</v>
      </c>
      <c r="H1115">
        <v>0</v>
      </c>
      <c r="I1115">
        <v>1662.107443</v>
      </c>
      <c r="J1115">
        <v>0</v>
      </c>
      <c r="K1115" t="s">
        <v>1921</v>
      </c>
      <c r="L1115">
        <v>0.7406918134637871</v>
      </c>
      <c r="M1115">
        <v>23.57</v>
      </c>
      <c r="N1115">
        <v>12.64</v>
      </c>
    </row>
    <row r="1116" spans="1:14">
      <c r="A1116" s="1" t="s">
        <v>1128</v>
      </c>
      <c r="B1116">
        <f>HYPERLINK("https://www.suredividend.com/sure-analysis-research-database/","Inari Medical Inc")</f>
        <v>0</v>
      </c>
      <c r="C1116" t="s">
        <v>1921</v>
      </c>
      <c r="D1116">
        <v>71.97</v>
      </c>
      <c r="E1116">
        <v>0</v>
      </c>
      <c r="H1116">
        <v>0</v>
      </c>
      <c r="I1116">
        <v>3842.455773</v>
      </c>
      <c r="J1116">
        <v>0</v>
      </c>
      <c r="K1116" t="s">
        <v>1921</v>
      </c>
      <c r="L1116">
        <v>1.583790536318409</v>
      </c>
      <c r="M1116">
        <v>100</v>
      </c>
      <c r="N1116">
        <v>50.5</v>
      </c>
    </row>
    <row r="1117" spans="1:14">
      <c r="A1117" s="1" t="s">
        <v>1129</v>
      </c>
      <c r="B1117">
        <f>HYPERLINK("https://www.suredividend.com/sure-analysis-research-database/","Nordic American Tankers Ltd")</f>
        <v>0</v>
      </c>
      <c r="C1117" t="s">
        <v>1924</v>
      </c>
      <c r="D1117">
        <v>2.61</v>
      </c>
      <c r="E1117">
        <v>0.026587177746076</v>
      </c>
      <c r="F1117">
        <v>2</v>
      </c>
      <c r="G1117">
        <v>0</v>
      </c>
      <c r="H1117">
        <v>0.06939253391725901</v>
      </c>
      <c r="I1117">
        <v>504.928475</v>
      </c>
      <c r="J1117" t="s">
        <v>1921</v>
      </c>
      <c r="K1117" t="s">
        <v>1921</v>
      </c>
      <c r="L1117">
        <v>0.719683459478478</v>
      </c>
      <c r="M1117">
        <v>3.6</v>
      </c>
      <c r="N1117">
        <v>1.37</v>
      </c>
    </row>
    <row r="1118" spans="1:14">
      <c r="A1118" s="1" t="s">
        <v>1130</v>
      </c>
      <c r="B1118">
        <f>HYPERLINK("https://www.suredividend.com/sure-analysis-research-database/","Nathan`s Famous, Inc.")</f>
        <v>0</v>
      </c>
      <c r="C1118" t="s">
        <v>1927</v>
      </c>
      <c r="D1118">
        <v>65.095</v>
      </c>
      <c r="E1118">
        <v>0.025834830807029</v>
      </c>
      <c r="H1118">
        <v>1.681718311383564</v>
      </c>
      <c r="I1118">
        <v>265.645404</v>
      </c>
      <c r="J1118">
        <v>0</v>
      </c>
      <c r="K1118" t="s">
        <v>1921</v>
      </c>
      <c r="L1118">
        <v>0.496078196661121</v>
      </c>
      <c r="M1118">
        <v>69</v>
      </c>
      <c r="N1118">
        <v>44.79</v>
      </c>
    </row>
    <row r="1119" spans="1:14">
      <c r="A1119" s="1" t="s">
        <v>1131</v>
      </c>
      <c r="B1119">
        <f>HYPERLINK("https://www.suredividend.com/sure-analysis-research-database/","Nature`s Sunshine Products, Inc.")</f>
        <v>0</v>
      </c>
      <c r="C1119" t="s">
        <v>1928</v>
      </c>
      <c r="D1119">
        <v>8.1</v>
      </c>
      <c r="E1119">
        <v>0</v>
      </c>
      <c r="H1119">
        <v>0</v>
      </c>
      <c r="I1119">
        <v>155.722492</v>
      </c>
      <c r="J1119">
        <v>9.8167113345521</v>
      </c>
      <c r="K1119">
        <v>0</v>
      </c>
      <c r="L1119">
        <v>0.544999118407379</v>
      </c>
      <c r="M1119">
        <v>19.26</v>
      </c>
      <c r="N1119">
        <v>7.97</v>
      </c>
    </row>
    <row r="1120" spans="1:14">
      <c r="A1120" s="1" t="s">
        <v>1132</v>
      </c>
      <c r="B1120">
        <f>HYPERLINK("https://www.suredividend.com/sure-analysis-NAVI/","Navient Corp")</f>
        <v>0</v>
      </c>
      <c r="C1120" t="s">
        <v>1923</v>
      </c>
      <c r="D1120">
        <v>14.77</v>
      </c>
      <c r="E1120">
        <v>0.04333107650643196</v>
      </c>
      <c r="F1120">
        <v>0</v>
      </c>
      <c r="G1120">
        <v>0</v>
      </c>
      <c r="H1120">
        <v>0.630339749258909</v>
      </c>
      <c r="I1120">
        <v>2095.548443</v>
      </c>
      <c r="J1120">
        <v>3.510131395829145</v>
      </c>
      <c r="K1120">
        <v>0.1654435037424958</v>
      </c>
      <c r="L1120">
        <v>1.165070574399567</v>
      </c>
      <c r="M1120">
        <v>21.92</v>
      </c>
      <c r="N1120">
        <v>12.32</v>
      </c>
    </row>
    <row r="1121" spans="1:14">
      <c r="A1121" s="1" t="s">
        <v>1133</v>
      </c>
      <c r="B1121">
        <f>HYPERLINK("https://www.suredividend.com/sure-analysis-research-database/","NewAge Inc")</f>
        <v>0</v>
      </c>
      <c r="C1121" t="s">
        <v>1928</v>
      </c>
      <c r="D1121">
        <v>0.065</v>
      </c>
      <c r="E1121">
        <v>0</v>
      </c>
      <c r="H1121">
        <v>0</v>
      </c>
      <c r="I1121">
        <v>0</v>
      </c>
      <c r="J1121">
        <v>0</v>
      </c>
      <c r="K1121">
        <v>-0</v>
      </c>
    </row>
    <row r="1122" spans="1:14">
      <c r="A1122" s="1" t="s">
        <v>1134</v>
      </c>
      <c r="B1122">
        <f>HYPERLINK("https://www.suredividend.com/sure-analysis-research-database/","National Bank Holdings Corp")</f>
        <v>0</v>
      </c>
      <c r="C1122" t="s">
        <v>1923</v>
      </c>
      <c r="D1122">
        <v>37.43</v>
      </c>
      <c r="E1122">
        <v>0.024112324101978</v>
      </c>
      <c r="F1122">
        <v>0.04545454545454541</v>
      </c>
      <c r="G1122">
        <v>0.2064159359821514</v>
      </c>
      <c r="H1122">
        <v>0.9025242911370701</v>
      </c>
      <c r="I1122">
        <v>1125.827138</v>
      </c>
      <c r="J1122">
        <v>13.8754607987626</v>
      </c>
      <c r="K1122">
        <v>0.3418652617943447</v>
      </c>
      <c r="L1122">
        <v>0.6400500417227231</v>
      </c>
      <c r="M1122">
        <v>47.45</v>
      </c>
      <c r="N1122">
        <v>35.63</v>
      </c>
    </row>
    <row r="1123" spans="1:14">
      <c r="A1123" s="1" t="s">
        <v>1135</v>
      </c>
      <c r="B1123">
        <f>HYPERLINK("https://www.suredividend.com/sure-analysis-research-database/","Nabors Industries Ltd")</f>
        <v>0</v>
      </c>
      <c r="C1123" t="s">
        <v>1926</v>
      </c>
      <c r="D1123">
        <v>122.77</v>
      </c>
      <c r="E1123">
        <v>0</v>
      </c>
      <c r="H1123">
        <v>0</v>
      </c>
      <c r="I1123">
        <v>1289.320841</v>
      </c>
      <c r="J1123" t="s">
        <v>1921</v>
      </c>
      <c r="K1123">
        <v>-0</v>
      </c>
      <c r="L1123">
        <v>1.419353851605326</v>
      </c>
      <c r="M1123">
        <v>207.67</v>
      </c>
      <c r="N1123">
        <v>72.45999999999999</v>
      </c>
    </row>
    <row r="1124" spans="1:14">
      <c r="A1124" s="1" t="s">
        <v>1136</v>
      </c>
      <c r="B1124">
        <f>HYPERLINK("https://www.suredividend.com/sure-analysis-research-database/","NBT Bancorp. Inc.")</f>
        <v>0</v>
      </c>
      <c r="C1124" t="s">
        <v>1923</v>
      </c>
      <c r="D1124">
        <v>39.86</v>
      </c>
      <c r="E1124">
        <v>0.028284467510658</v>
      </c>
      <c r="F1124">
        <v>0.0714285714285714</v>
      </c>
      <c r="G1124">
        <v>0.05457794330579446</v>
      </c>
      <c r="H1124">
        <v>1.12741887497485</v>
      </c>
      <c r="I1124">
        <v>1707.558953</v>
      </c>
      <c r="J1124">
        <v>11.26031331671546</v>
      </c>
      <c r="K1124">
        <v>0.3230426575859169</v>
      </c>
      <c r="L1124">
        <v>0.474254327635007</v>
      </c>
      <c r="M1124">
        <v>42.3</v>
      </c>
      <c r="N1124">
        <v>34.06</v>
      </c>
    </row>
    <row r="1125" spans="1:14">
      <c r="A1125" s="1" t="s">
        <v>1137</v>
      </c>
      <c r="B1125">
        <f>HYPERLINK("https://www.suredividend.com/sure-analysis-research-database/","Nicolet Bankshares Inc.")</f>
        <v>0</v>
      </c>
      <c r="C1125" t="s">
        <v>1923</v>
      </c>
      <c r="D1125">
        <v>78.01000000000001</v>
      </c>
      <c r="E1125">
        <v>0</v>
      </c>
      <c r="H1125">
        <v>0</v>
      </c>
      <c r="I1125">
        <v>994.903566</v>
      </c>
      <c r="J1125">
        <v>0</v>
      </c>
      <c r="K1125" t="s">
        <v>1921</v>
      </c>
    </row>
    <row r="1126" spans="1:14">
      <c r="A1126" s="1" t="s">
        <v>1138</v>
      </c>
      <c r="B1126">
        <f>HYPERLINK("https://www.suredividend.com/sure-analysis-research-database/","National Cinemedia Inc")</f>
        <v>0</v>
      </c>
      <c r="C1126" t="s">
        <v>1931</v>
      </c>
      <c r="D1126">
        <v>0.5201</v>
      </c>
      <c r="E1126">
        <v>0.29711380605088</v>
      </c>
      <c r="F1126">
        <v>-0.4</v>
      </c>
      <c r="G1126">
        <v>-0.3286643428868223</v>
      </c>
      <c r="H1126">
        <v>0.154528890527062</v>
      </c>
      <c r="I1126">
        <v>42.590423</v>
      </c>
      <c r="J1126" t="s">
        <v>1921</v>
      </c>
      <c r="K1126" t="s">
        <v>1921</v>
      </c>
      <c r="L1126">
        <v>1.49957803498737</v>
      </c>
      <c r="M1126">
        <v>3.65</v>
      </c>
      <c r="N1126">
        <v>0.474</v>
      </c>
    </row>
    <row r="1127" spans="1:14">
      <c r="A1127" s="1" t="s">
        <v>1139</v>
      </c>
      <c r="B1127">
        <f>HYPERLINK("https://www.suredividend.com/sure-analysis-research-database/","Noodles &amp; Company")</f>
        <v>0</v>
      </c>
      <c r="C1127" t="s">
        <v>1927</v>
      </c>
      <c r="D1127">
        <v>4.93</v>
      </c>
      <c r="E1127">
        <v>0</v>
      </c>
      <c r="H1127">
        <v>0</v>
      </c>
      <c r="I1127">
        <v>225.30731</v>
      </c>
      <c r="J1127">
        <v>0</v>
      </c>
      <c r="K1127" t="s">
        <v>1921</v>
      </c>
      <c r="L1127">
        <v>1.459605677715761</v>
      </c>
      <c r="M1127">
        <v>13.44</v>
      </c>
      <c r="N1127">
        <v>4.25</v>
      </c>
    </row>
    <row r="1128" spans="1:14">
      <c r="A1128" s="1" t="s">
        <v>1140</v>
      </c>
      <c r="B1128">
        <f>HYPERLINK("https://www.suredividend.com/sure-analysis-research-database/","Neogenomics Inc.")</f>
        <v>0</v>
      </c>
      <c r="C1128" t="s">
        <v>1922</v>
      </c>
      <c r="D1128">
        <v>7.64</v>
      </c>
      <c r="E1128">
        <v>0</v>
      </c>
      <c r="H1128">
        <v>0</v>
      </c>
      <c r="I1128">
        <v>961.080707</v>
      </c>
      <c r="J1128" t="s">
        <v>1921</v>
      </c>
      <c r="K1128">
        <v>-0</v>
      </c>
      <c r="L1128">
        <v>1.789015599181499</v>
      </c>
      <c r="M1128">
        <v>47.13</v>
      </c>
      <c r="N1128">
        <v>6.85</v>
      </c>
    </row>
    <row r="1129" spans="1:14">
      <c r="A1129" s="1" t="s">
        <v>1141</v>
      </c>
      <c r="B1129">
        <f>HYPERLINK("https://www.suredividend.com/sure-analysis-research-database/","Neogen Corp.")</f>
        <v>0</v>
      </c>
      <c r="C1129" t="s">
        <v>1922</v>
      </c>
      <c r="D1129">
        <v>12.11</v>
      </c>
      <c r="E1129">
        <v>0</v>
      </c>
      <c r="H1129">
        <v>0</v>
      </c>
      <c r="I1129">
        <v>1305.91491</v>
      </c>
      <c r="J1129">
        <v>35.83838498037817</v>
      </c>
      <c r="K1129">
        <v>0</v>
      </c>
      <c r="L1129">
        <v>0.87560703891347</v>
      </c>
      <c r="M1129">
        <v>47.8</v>
      </c>
      <c r="N1129">
        <v>12.08</v>
      </c>
    </row>
    <row r="1130" spans="1:14">
      <c r="A1130" s="1" t="s">
        <v>1142</v>
      </c>
      <c r="B1130">
        <f>HYPERLINK("https://www.suredividend.com/sure-analysis-research-database/","National Energy Services Reunited Corp")</f>
        <v>0</v>
      </c>
      <c r="C1130" t="s">
        <v>1926</v>
      </c>
      <c r="D1130">
        <v>5.79</v>
      </c>
      <c r="E1130">
        <v>0</v>
      </c>
      <c r="H1130">
        <v>0</v>
      </c>
      <c r="I1130">
        <v>526.036595</v>
      </c>
      <c r="J1130">
        <v>0</v>
      </c>
      <c r="K1130" t="s">
        <v>1921</v>
      </c>
      <c r="L1130">
        <v>0.742266259091361</v>
      </c>
      <c r="M1130">
        <v>13.28</v>
      </c>
      <c r="N1130">
        <v>5.64</v>
      </c>
    </row>
    <row r="1131" spans="1:14">
      <c r="A1131" s="1" t="s">
        <v>1143</v>
      </c>
      <c r="B1131">
        <f>HYPERLINK("https://www.suredividend.com/sure-analysis-research-database/","NexTier Oilfield Solutions Inc")</f>
        <v>0</v>
      </c>
      <c r="C1131" t="s">
        <v>1926</v>
      </c>
      <c r="D1131">
        <v>8.83</v>
      </c>
      <c r="E1131">
        <v>0</v>
      </c>
      <c r="H1131">
        <v>0</v>
      </c>
      <c r="I1131">
        <v>2155.766469</v>
      </c>
      <c r="J1131">
        <v>48.87251120584902</v>
      </c>
      <c r="K1131">
        <v>0</v>
      </c>
      <c r="L1131">
        <v>0.9893660928037421</v>
      </c>
      <c r="M1131">
        <v>12.5</v>
      </c>
      <c r="N1131">
        <v>3.21</v>
      </c>
    </row>
    <row r="1132" spans="1:14">
      <c r="A1132" s="1" t="s">
        <v>1144</v>
      </c>
      <c r="B1132">
        <f>HYPERLINK("https://www.suredividend.com/sure-analysis-research-database/","Neximmune Inc")</f>
        <v>0</v>
      </c>
      <c r="C1132" t="s">
        <v>1921</v>
      </c>
      <c r="D1132">
        <v>0.67</v>
      </c>
      <c r="E1132">
        <v>0</v>
      </c>
      <c r="H1132">
        <v>0</v>
      </c>
      <c r="I1132">
        <v>16.184219</v>
      </c>
      <c r="J1132">
        <v>0</v>
      </c>
      <c r="K1132" t="s">
        <v>1921</v>
      </c>
      <c r="L1132">
        <v>1.736123643686763</v>
      </c>
      <c r="M1132">
        <v>14.28</v>
      </c>
      <c r="N1132">
        <v>0.51</v>
      </c>
    </row>
    <row r="1133" spans="1:14">
      <c r="A1133" s="1" t="s">
        <v>1145</v>
      </c>
      <c r="B1133">
        <f>HYPERLINK("https://www.suredividend.com/sure-analysis-research-database/","Northfield Bancorp Inc")</f>
        <v>0</v>
      </c>
      <c r="C1133" t="s">
        <v>1923</v>
      </c>
      <c r="D1133">
        <v>14.45</v>
      </c>
      <c r="E1133">
        <v>0.03549714025126401</v>
      </c>
      <c r="F1133">
        <v>0</v>
      </c>
      <c r="G1133">
        <v>0.05387395206178347</v>
      </c>
      <c r="H1133">
        <v>0.512933676630779</v>
      </c>
      <c r="I1133">
        <v>699.509169</v>
      </c>
      <c r="J1133">
        <v>11.2490217507719</v>
      </c>
      <c r="K1133">
        <v>0.3915524249089916</v>
      </c>
      <c r="L1133">
        <v>0.440659956657202</v>
      </c>
      <c r="M1133">
        <v>17.9</v>
      </c>
      <c r="N1133">
        <v>11.77</v>
      </c>
    </row>
    <row r="1134" spans="1:14">
      <c r="A1134" s="1" t="s">
        <v>1146</v>
      </c>
      <c r="B1134">
        <f>HYPERLINK("https://www.suredividend.com/sure-analysis-research-database/","Novagold Resources Inc.")</f>
        <v>0</v>
      </c>
      <c r="C1134" t="s">
        <v>1925</v>
      </c>
      <c r="D1134">
        <v>4.52</v>
      </c>
      <c r="E1134">
        <v>0</v>
      </c>
      <c r="H1134">
        <v>0</v>
      </c>
      <c r="I1134">
        <v>1506.923871</v>
      </c>
      <c r="J1134">
        <v>0</v>
      </c>
      <c r="K1134" t="s">
        <v>1921</v>
      </c>
      <c r="L1134">
        <v>0.709803249183362</v>
      </c>
      <c r="M1134">
        <v>8.359999999999999</v>
      </c>
      <c r="N1134">
        <v>4.06</v>
      </c>
    </row>
    <row r="1135" spans="1:14">
      <c r="A1135" s="1" t="s">
        <v>1147</v>
      </c>
      <c r="B1135">
        <f>HYPERLINK("https://www.suredividend.com/sure-analysis-research-database/","Ngm Biopharmaceuticals Inc")</f>
        <v>0</v>
      </c>
      <c r="C1135" t="s">
        <v>1922</v>
      </c>
      <c r="D1135">
        <v>11.85</v>
      </c>
      <c r="E1135">
        <v>0</v>
      </c>
      <c r="H1135">
        <v>0</v>
      </c>
      <c r="I1135">
        <v>952.335785</v>
      </c>
      <c r="J1135">
        <v>0</v>
      </c>
      <c r="K1135" t="s">
        <v>1921</v>
      </c>
      <c r="L1135">
        <v>1.040736748502691</v>
      </c>
      <c r="M1135">
        <v>21.63</v>
      </c>
      <c r="N1135">
        <v>10.49</v>
      </c>
    </row>
    <row r="1136" spans="1:14">
      <c r="A1136" s="1" t="s">
        <v>1148</v>
      </c>
      <c r="B1136">
        <f>HYPERLINK("https://www.suredividend.com/sure-analysis-research-database/","NeoGames SA")</f>
        <v>0</v>
      </c>
      <c r="C1136" t="s">
        <v>1921</v>
      </c>
      <c r="D1136">
        <v>13.26</v>
      </c>
      <c r="E1136">
        <v>0</v>
      </c>
      <c r="H1136">
        <v>0</v>
      </c>
      <c r="I1136">
        <v>342.899145</v>
      </c>
      <c r="J1136">
        <v>0</v>
      </c>
      <c r="K1136" t="s">
        <v>1921</v>
      </c>
      <c r="L1136">
        <v>1.696996820103269</v>
      </c>
      <c r="M1136">
        <v>42.47</v>
      </c>
      <c r="N1136">
        <v>10.69</v>
      </c>
    </row>
    <row r="1137" spans="1:14">
      <c r="A1137" s="1" t="s">
        <v>1149</v>
      </c>
      <c r="B1137">
        <f>HYPERLINK("https://www.suredividend.com/sure-analysis-research-database/","Natural Grocers by Vitamin Cottage Inc")</f>
        <v>0</v>
      </c>
      <c r="C1137" t="s">
        <v>1928</v>
      </c>
      <c r="D1137">
        <v>10.48</v>
      </c>
      <c r="E1137">
        <v>0.03780879187145701</v>
      </c>
      <c r="H1137">
        <v>0.396236138812873</v>
      </c>
      <c r="I1137">
        <v>237.653147</v>
      </c>
      <c r="J1137">
        <v>8.995879588159587</v>
      </c>
      <c r="K1137">
        <v>0.3415828782869595</v>
      </c>
      <c r="L1137">
        <v>0.635123431595761</v>
      </c>
      <c r="M1137">
        <v>23.95</v>
      </c>
      <c r="N1137">
        <v>10.23</v>
      </c>
    </row>
    <row r="1138" spans="1:14">
      <c r="A1138" s="1" t="s">
        <v>1150</v>
      </c>
      <c r="B1138">
        <f>HYPERLINK("https://www.suredividend.com/sure-analysis-research-database/","Ingevity Corp")</f>
        <v>0</v>
      </c>
      <c r="C1138" t="s">
        <v>1925</v>
      </c>
      <c r="D1138">
        <v>62.11</v>
      </c>
      <c r="E1138">
        <v>0</v>
      </c>
      <c r="H1138">
        <v>0</v>
      </c>
      <c r="I1138">
        <v>2406.793928</v>
      </c>
      <c r="J1138">
        <v>16.51883272244337</v>
      </c>
      <c r="K1138">
        <v>0</v>
      </c>
      <c r="L1138">
        <v>0.986972280608394</v>
      </c>
      <c r="M1138">
        <v>83.65000000000001</v>
      </c>
      <c r="N1138">
        <v>56.31</v>
      </c>
    </row>
    <row r="1139" spans="1:14">
      <c r="A1139" s="1" t="s">
        <v>1151</v>
      </c>
      <c r="B1139">
        <f>HYPERLINK("https://www.suredividend.com/sure-analysis-research-database/","NantHealth Inc")</f>
        <v>0</v>
      </c>
      <c r="C1139" t="s">
        <v>1922</v>
      </c>
      <c r="D1139">
        <v>0.2359</v>
      </c>
      <c r="E1139">
        <v>0</v>
      </c>
      <c r="H1139">
        <v>0</v>
      </c>
      <c r="I1139">
        <v>27.258303</v>
      </c>
      <c r="J1139">
        <v>0</v>
      </c>
      <c r="K1139" t="s">
        <v>1921</v>
      </c>
      <c r="L1139">
        <v>1.047900893099608</v>
      </c>
      <c r="M1139">
        <v>1.91</v>
      </c>
      <c r="N1139">
        <v>0.1714</v>
      </c>
    </row>
    <row r="1140" spans="1:14">
      <c r="A1140" s="1" t="s">
        <v>1152</v>
      </c>
      <c r="B1140">
        <f>HYPERLINK("https://www.suredividend.com/sure-analysis-research-database/","National Healthcare Corp.")</f>
        <v>0</v>
      </c>
      <c r="C1140" t="s">
        <v>1922</v>
      </c>
      <c r="D1140">
        <v>61.66</v>
      </c>
      <c r="E1140">
        <v>0.035888625795688</v>
      </c>
      <c r="F1140">
        <v>0.09615384615384626</v>
      </c>
      <c r="G1140">
        <v>0.03496752704080697</v>
      </c>
      <c r="H1140">
        <v>2.212892666562142</v>
      </c>
      <c r="I1140">
        <v>954.982989</v>
      </c>
      <c r="J1140">
        <v>30.8447075062175</v>
      </c>
      <c r="K1140">
        <v>1.106446333281071</v>
      </c>
      <c r="L1140">
        <v>0.424026877468642</v>
      </c>
      <c r="M1140">
        <v>74.38</v>
      </c>
      <c r="N1140">
        <v>60.24</v>
      </c>
    </row>
    <row r="1141" spans="1:14">
      <c r="A1141" s="1" t="s">
        <v>1153</v>
      </c>
      <c r="B1141">
        <f>HYPERLINK("https://www.suredividend.com/sure-analysis-NHI/","National Health Investors, Inc.")</f>
        <v>0</v>
      </c>
      <c r="C1141" t="s">
        <v>1929</v>
      </c>
      <c r="D1141">
        <v>51.14</v>
      </c>
      <c r="E1141">
        <v>0.07039499413375049</v>
      </c>
      <c r="F1141">
        <v>0</v>
      </c>
      <c r="G1141">
        <v>-0.01075518913431428</v>
      </c>
      <c r="H1141">
        <v>3.518906324348028</v>
      </c>
      <c r="I1141">
        <v>2283.664678</v>
      </c>
      <c r="J1141">
        <v>33.90188206588382</v>
      </c>
      <c r="K1141">
        <v>2.393813826087094</v>
      </c>
      <c r="L1141">
        <v>0.37094746849375</v>
      </c>
      <c r="M1141">
        <v>66.11</v>
      </c>
      <c r="N1141">
        <v>47.86</v>
      </c>
    </row>
    <row r="1142" spans="1:14">
      <c r="A1142" s="1" t="s">
        <v>1154</v>
      </c>
      <c r="B1142">
        <f>HYPERLINK("https://www.suredividend.com/sure-analysis-NJR/","New Jersey Resources Corporation")</f>
        <v>0</v>
      </c>
      <c r="C1142" t="s">
        <v>1930</v>
      </c>
      <c r="D1142">
        <v>39.28</v>
      </c>
      <c r="E1142">
        <v>0.03971486761710794</v>
      </c>
      <c r="F1142">
        <v>0.07586206896551717</v>
      </c>
      <c r="G1142">
        <v>0.0743347416121678</v>
      </c>
      <c r="H1142">
        <v>1.459003923484521</v>
      </c>
      <c r="I1142">
        <v>3779.850688</v>
      </c>
      <c r="J1142">
        <v>17.23857528875754</v>
      </c>
      <c r="K1142">
        <v>0.6427330059403176</v>
      </c>
      <c r="L1142">
        <v>0.463041485119173</v>
      </c>
      <c r="M1142">
        <v>47.01</v>
      </c>
      <c r="N1142">
        <v>35.52</v>
      </c>
    </row>
    <row r="1143" spans="1:14">
      <c r="A1143" s="1" t="s">
        <v>1155</v>
      </c>
      <c r="B1143">
        <f>HYPERLINK("https://www.suredividend.com/sure-analysis-research-database/","Nikola Corporation")</f>
        <v>0</v>
      </c>
      <c r="C1143" t="s">
        <v>1921</v>
      </c>
      <c r="D1143">
        <v>3</v>
      </c>
      <c r="E1143">
        <v>0</v>
      </c>
      <c r="H1143">
        <v>0</v>
      </c>
      <c r="I1143">
        <v>1300.428993</v>
      </c>
      <c r="J1143" t="s">
        <v>1921</v>
      </c>
      <c r="K1143">
        <v>-0</v>
      </c>
      <c r="L1143">
        <v>2.012575355711186</v>
      </c>
      <c r="M1143">
        <v>15.56</v>
      </c>
      <c r="N1143">
        <v>2.88</v>
      </c>
    </row>
    <row r="1144" spans="1:14">
      <c r="A1144" s="1" t="s">
        <v>1156</v>
      </c>
      <c r="B1144">
        <f>HYPERLINK("https://www.suredividend.com/sure-analysis-research-database/","Nkarta Inc")</f>
        <v>0</v>
      </c>
      <c r="C1144" t="s">
        <v>1921</v>
      </c>
      <c r="D1144">
        <v>13.52</v>
      </c>
      <c r="E1144">
        <v>0</v>
      </c>
      <c r="H1144">
        <v>0</v>
      </c>
      <c r="I1144">
        <v>657.839909</v>
      </c>
      <c r="J1144">
        <v>0</v>
      </c>
      <c r="K1144" t="s">
        <v>1921</v>
      </c>
      <c r="L1144">
        <v>1.896752698371676</v>
      </c>
      <c r="M1144">
        <v>20.41</v>
      </c>
      <c r="N1144">
        <v>7.55</v>
      </c>
    </row>
    <row r="1145" spans="1:14">
      <c r="A1145" s="1" t="s">
        <v>1157</v>
      </c>
      <c r="B1145">
        <f>HYPERLINK("https://www.suredividend.com/sure-analysis-research-database/","NL Industries, Inc.")</f>
        <v>0</v>
      </c>
      <c r="C1145" t="s">
        <v>1924</v>
      </c>
      <c r="D1145">
        <v>7.61</v>
      </c>
      <c r="E1145">
        <v>0.034199461071891</v>
      </c>
      <c r="H1145">
        <v>0.260257898757096</v>
      </c>
      <c r="I1145">
        <v>371.487736</v>
      </c>
      <c r="J1145">
        <v>5.01718914333563</v>
      </c>
      <c r="K1145">
        <v>0.171222301813879</v>
      </c>
      <c r="L1145">
        <v>0.977331570187</v>
      </c>
      <c r="M1145">
        <v>10.63</v>
      </c>
      <c r="N1145">
        <v>5.14</v>
      </c>
    </row>
    <row r="1146" spans="1:14">
      <c r="A1146" s="1" t="s">
        <v>1158</v>
      </c>
      <c r="B1146">
        <f>HYPERLINK("https://www.suredividend.com/sure-analysis-research-database/","Nautilus Inc")</f>
        <v>0</v>
      </c>
      <c r="C1146" t="s">
        <v>1927</v>
      </c>
      <c r="D1146">
        <v>1.55</v>
      </c>
      <c r="E1146">
        <v>0</v>
      </c>
      <c r="H1146">
        <v>0</v>
      </c>
      <c r="I1146">
        <v>48.774916</v>
      </c>
      <c r="J1146" t="s">
        <v>1921</v>
      </c>
      <c r="K1146">
        <v>-0</v>
      </c>
      <c r="L1146">
        <v>1.266430182959703</v>
      </c>
      <c r="M1146">
        <v>11.4</v>
      </c>
      <c r="N1146">
        <v>1.54</v>
      </c>
    </row>
    <row r="1147" spans="1:14">
      <c r="A1147" s="1" t="s">
        <v>1159</v>
      </c>
      <c r="B1147">
        <f>HYPERLINK("https://www.suredividend.com/sure-analysis-research-database/","Neoleukin Therapeutics Inc")</f>
        <v>0</v>
      </c>
      <c r="C1147" t="s">
        <v>1922</v>
      </c>
      <c r="D1147">
        <v>0.5720000000000001</v>
      </c>
      <c r="E1147">
        <v>0</v>
      </c>
      <c r="H1147">
        <v>0</v>
      </c>
      <c r="I1147">
        <v>24.355675</v>
      </c>
      <c r="J1147">
        <v>0</v>
      </c>
      <c r="K1147" t="s">
        <v>1921</v>
      </c>
      <c r="L1147">
        <v>1.439633392078086</v>
      </c>
      <c r="M1147">
        <v>8.01</v>
      </c>
      <c r="N1147">
        <v>0.5654</v>
      </c>
    </row>
    <row r="1148" spans="1:14">
      <c r="A1148" s="1" t="s">
        <v>1160</v>
      </c>
      <c r="B1148">
        <f>HYPERLINK("https://www.suredividend.com/sure-analysis-research-database/","NMI Holdings Inc")</f>
        <v>0</v>
      </c>
      <c r="C1148" t="s">
        <v>1923</v>
      </c>
      <c r="D1148">
        <v>20.75</v>
      </c>
      <c r="E1148">
        <v>0</v>
      </c>
      <c r="H1148">
        <v>0</v>
      </c>
      <c r="I1148">
        <v>1757.579282</v>
      </c>
      <c r="J1148">
        <v>0</v>
      </c>
      <c r="K1148" t="s">
        <v>1921</v>
      </c>
      <c r="L1148">
        <v>1.043001433538007</v>
      </c>
      <c r="M1148">
        <v>27.25</v>
      </c>
      <c r="N1148">
        <v>15.33</v>
      </c>
    </row>
    <row r="1149" spans="1:14">
      <c r="A1149" s="1" t="s">
        <v>1161</v>
      </c>
      <c r="B1149">
        <f>HYPERLINK("https://www.suredividend.com/sure-analysis-research-database/","Newmark Group Inc")</f>
        <v>0</v>
      </c>
      <c r="C1149" t="s">
        <v>1929</v>
      </c>
      <c r="D1149">
        <v>8.4</v>
      </c>
      <c r="E1149">
        <v>0.009500317941747001</v>
      </c>
      <c r="H1149">
        <v>0.07980267071067901</v>
      </c>
      <c r="I1149">
        <v>1325.602942</v>
      </c>
      <c r="J1149">
        <v>4.135272465685052</v>
      </c>
      <c r="K1149">
        <v>0.04612871139345608</v>
      </c>
      <c r="L1149">
        <v>1.34950129871751</v>
      </c>
      <c r="M1149">
        <v>18.99</v>
      </c>
      <c r="N1149">
        <v>7.8</v>
      </c>
    </row>
    <row r="1150" spans="1:14">
      <c r="A1150" s="1" t="s">
        <v>1162</v>
      </c>
      <c r="B1150">
        <f>HYPERLINK("https://www.suredividend.com/sure-analysis-research-database/","9 Meters Biopharma Inc")</f>
        <v>0</v>
      </c>
      <c r="C1150" t="s">
        <v>1921</v>
      </c>
      <c r="D1150">
        <v>0.225</v>
      </c>
      <c r="E1150">
        <v>0</v>
      </c>
      <c r="H1150">
        <v>0</v>
      </c>
      <c r="I1150">
        <v>58.299161</v>
      </c>
      <c r="J1150">
        <v>0</v>
      </c>
      <c r="K1150" t="s">
        <v>1921</v>
      </c>
      <c r="L1150">
        <v>0.8960170884015901</v>
      </c>
      <c r="M1150">
        <v>1.35</v>
      </c>
      <c r="N1150">
        <v>0.1974</v>
      </c>
    </row>
    <row r="1151" spans="1:14">
      <c r="A1151" s="1" t="s">
        <v>1163</v>
      </c>
      <c r="B1151">
        <f>HYPERLINK("https://www.suredividend.com/sure-analysis-research-database/","NN Inc")</f>
        <v>0</v>
      </c>
      <c r="C1151" t="s">
        <v>1924</v>
      </c>
      <c r="D1151">
        <v>1.76</v>
      </c>
      <c r="E1151">
        <v>0</v>
      </c>
      <c r="H1151">
        <v>0</v>
      </c>
      <c r="I1151">
        <v>77.236558</v>
      </c>
      <c r="J1151" t="s">
        <v>1921</v>
      </c>
      <c r="K1151">
        <v>-0</v>
      </c>
      <c r="L1151">
        <v>0.9501564468488251</v>
      </c>
      <c r="M1151">
        <v>6.13</v>
      </c>
      <c r="N1151">
        <v>1.62</v>
      </c>
    </row>
    <row r="1152" spans="1:14">
      <c r="A1152" s="1" t="s">
        <v>1164</v>
      </c>
      <c r="B1152">
        <f>HYPERLINK("https://www.suredividend.com/sure-analysis-research-database/","Nelnet Inc")</f>
        <v>0</v>
      </c>
      <c r="C1152" t="s">
        <v>1923</v>
      </c>
      <c r="D1152">
        <v>80.53</v>
      </c>
      <c r="E1152">
        <v>0.011886727441792</v>
      </c>
      <c r="F1152">
        <v>0.09090909090909083</v>
      </c>
      <c r="G1152">
        <v>0.08447177119769855</v>
      </c>
      <c r="H1152">
        <v>0.9572381608875311</v>
      </c>
      <c r="I1152">
        <v>2137.330382</v>
      </c>
      <c r="J1152">
        <v>4.687611184508052</v>
      </c>
      <c r="K1152">
        <v>0.08017070024183678</v>
      </c>
      <c r="L1152">
        <v>0.5644826963988641</v>
      </c>
      <c r="M1152">
        <v>99.20999999999999</v>
      </c>
      <c r="N1152">
        <v>72.73</v>
      </c>
    </row>
    <row r="1153" spans="1:14">
      <c r="A1153" s="1" t="s">
        <v>1165</v>
      </c>
      <c r="B1153">
        <f>HYPERLINK("https://www.suredividend.com/sure-analysis-research-database/","NI Holdings Inc")</f>
        <v>0</v>
      </c>
      <c r="C1153" t="s">
        <v>1923</v>
      </c>
      <c r="D1153">
        <v>13.51</v>
      </c>
      <c r="E1153">
        <v>0</v>
      </c>
      <c r="H1153">
        <v>0</v>
      </c>
      <c r="I1153">
        <v>286.129006</v>
      </c>
      <c r="J1153">
        <v>0</v>
      </c>
      <c r="K1153" t="s">
        <v>1921</v>
      </c>
      <c r="L1153">
        <v>0.495066874983864</v>
      </c>
      <c r="M1153">
        <v>20.6</v>
      </c>
      <c r="N1153">
        <v>12.55</v>
      </c>
    </row>
    <row r="1154" spans="1:14">
      <c r="A1154" s="1" t="s">
        <v>1166</v>
      </c>
      <c r="B1154">
        <f>HYPERLINK("https://www.suredividend.com/sure-analysis-research-database/","Northern Oil and Gas Inc.")</f>
        <v>0</v>
      </c>
      <c r="C1154" t="s">
        <v>1926</v>
      </c>
      <c r="D1154">
        <v>32.81</v>
      </c>
      <c r="E1154">
        <v>0.017549037277775</v>
      </c>
      <c r="H1154">
        <v>0.575783913083812</v>
      </c>
      <c r="I1154">
        <v>2589.18796</v>
      </c>
      <c r="J1154">
        <v>13.37197079131118</v>
      </c>
      <c r="K1154">
        <v>0.2231720593348109</v>
      </c>
      <c r="L1154">
        <v>1.111495195128766</v>
      </c>
      <c r="M1154">
        <v>38.45</v>
      </c>
      <c r="N1154">
        <v>17.07</v>
      </c>
    </row>
    <row r="1155" spans="1:14">
      <c r="A1155" s="1" t="s">
        <v>1167</v>
      </c>
      <c r="B1155">
        <f>HYPERLINK("https://www.suredividend.com/sure-analysis-research-database/","Inotiv Inc")</f>
        <v>0</v>
      </c>
      <c r="C1155" t="s">
        <v>1921</v>
      </c>
      <c r="D1155">
        <v>19.5</v>
      </c>
      <c r="E1155">
        <v>0</v>
      </c>
      <c r="H1155">
        <v>0</v>
      </c>
      <c r="I1155">
        <v>499.092224</v>
      </c>
      <c r="J1155">
        <v>0</v>
      </c>
      <c r="K1155" t="s">
        <v>1921</v>
      </c>
      <c r="L1155">
        <v>2.182324103789932</v>
      </c>
      <c r="M1155">
        <v>60.66</v>
      </c>
      <c r="N1155">
        <v>9.140000000000001</v>
      </c>
    </row>
    <row r="1156" spans="1:14">
      <c r="A1156" s="1" t="s">
        <v>1168</v>
      </c>
      <c r="B1156">
        <f>HYPERLINK("https://www.suredividend.com/sure-analysis-research-database/","Sunnova Energy International Inc")</f>
        <v>0</v>
      </c>
      <c r="C1156" t="s">
        <v>1920</v>
      </c>
      <c r="D1156">
        <v>20.7</v>
      </c>
      <c r="E1156">
        <v>0</v>
      </c>
      <c r="H1156">
        <v>0</v>
      </c>
      <c r="I1156">
        <v>2373.424347</v>
      </c>
      <c r="J1156">
        <v>0</v>
      </c>
      <c r="K1156" t="s">
        <v>1921</v>
      </c>
      <c r="L1156">
        <v>1.788535353917567</v>
      </c>
      <c r="M1156">
        <v>46.4</v>
      </c>
      <c r="N1156">
        <v>12.47</v>
      </c>
    </row>
    <row r="1157" spans="1:14">
      <c r="A1157" s="1" t="s">
        <v>1169</v>
      </c>
      <c r="B1157">
        <f>HYPERLINK("https://www.suredividend.com/sure-analysis-research-database/","Novanta Inc")</f>
        <v>0</v>
      </c>
      <c r="C1157" t="s">
        <v>1920</v>
      </c>
      <c r="D1157">
        <v>114.2</v>
      </c>
      <c r="E1157">
        <v>0</v>
      </c>
      <c r="H1157">
        <v>0</v>
      </c>
      <c r="I1157">
        <v>4070.404334</v>
      </c>
      <c r="J1157">
        <v>63.94376545808722</v>
      </c>
      <c r="K1157">
        <v>0</v>
      </c>
      <c r="L1157">
        <v>1.242361483939172</v>
      </c>
      <c r="M1157">
        <v>184.44</v>
      </c>
      <c r="N1157">
        <v>110.84</v>
      </c>
    </row>
    <row r="1158" spans="1:14">
      <c r="A1158" s="1" t="s">
        <v>1170</v>
      </c>
      <c r="B1158">
        <f>HYPERLINK("https://www.suredividend.com/sure-analysis-research-database/","Neenah Inc")</f>
        <v>0</v>
      </c>
      <c r="C1158" t="s">
        <v>1925</v>
      </c>
      <c r="D1158">
        <v>32</v>
      </c>
      <c r="E1158">
        <v>0.058252615601215</v>
      </c>
      <c r="H1158">
        <v>1.864083699238888</v>
      </c>
      <c r="I1158">
        <v>537.253888</v>
      </c>
      <c r="J1158" t="s">
        <v>1921</v>
      </c>
      <c r="K1158" t="s">
        <v>1921</v>
      </c>
      <c r="L1158">
        <v>0.7464642607469351</v>
      </c>
      <c r="M1158">
        <v>55.11</v>
      </c>
      <c r="N1158">
        <v>31.05</v>
      </c>
    </row>
    <row r="1159" spans="1:14">
      <c r="A1159" s="1" t="s">
        <v>1171</v>
      </c>
      <c r="B1159">
        <f>HYPERLINK("https://www.suredividend.com/sure-analysis-research-database/","NeuroPace Inc")</f>
        <v>0</v>
      </c>
      <c r="C1159" t="s">
        <v>1921</v>
      </c>
      <c r="D1159">
        <v>3.09</v>
      </c>
      <c r="E1159">
        <v>0</v>
      </c>
      <c r="H1159">
        <v>0</v>
      </c>
      <c r="I1159">
        <v>76.776949</v>
      </c>
      <c r="J1159">
        <v>0</v>
      </c>
      <c r="K1159" t="s">
        <v>1921</v>
      </c>
      <c r="L1159">
        <v>0.5152825087851231</v>
      </c>
      <c r="M1159">
        <v>17.8</v>
      </c>
      <c r="N1159">
        <v>3.07</v>
      </c>
    </row>
    <row r="1160" spans="1:14">
      <c r="A1160" s="1" t="s">
        <v>1172</v>
      </c>
      <c r="B1160">
        <f>HYPERLINK("https://www.suredividend.com/sure-analysis-research-database/","National Presto Industries, Inc.")</f>
        <v>0</v>
      </c>
      <c r="C1160" t="s">
        <v>1924</v>
      </c>
      <c r="D1160">
        <v>64.91</v>
      </c>
      <c r="E1160">
        <v>0.015405946695424</v>
      </c>
      <c r="H1160">
        <v>1</v>
      </c>
      <c r="I1160">
        <v>458.067403</v>
      </c>
      <c r="J1160">
        <v>26.99595729726544</v>
      </c>
      <c r="K1160">
        <v>0.4166666666666667</v>
      </c>
      <c r="L1160">
        <v>0.5374170873194231</v>
      </c>
      <c r="M1160">
        <v>88.43000000000001</v>
      </c>
      <c r="N1160">
        <v>59.99</v>
      </c>
    </row>
    <row r="1161" spans="1:14">
      <c r="A1161" s="1" t="s">
        <v>1173</v>
      </c>
      <c r="B1161">
        <f>HYPERLINK("https://www.suredividend.com/sure-analysis-research-database/","EnPro Industries Inc")</f>
        <v>0</v>
      </c>
      <c r="C1161" t="s">
        <v>1924</v>
      </c>
      <c r="D1161">
        <v>88.81</v>
      </c>
      <c r="E1161">
        <v>0.012463471776498</v>
      </c>
      <c r="F1161">
        <v>0.03703703703703698</v>
      </c>
      <c r="G1161">
        <v>0.04941452284458392</v>
      </c>
      <c r="H1161">
        <v>1.106880928470871</v>
      </c>
      <c r="I1161">
        <v>1847.385123</v>
      </c>
      <c r="J1161">
        <v>10.30906876473214</v>
      </c>
      <c r="K1161">
        <v>0.1288569183318825</v>
      </c>
      <c r="L1161">
        <v>0.9306715824246081</v>
      </c>
      <c r="M1161">
        <v>116.99</v>
      </c>
      <c r="N1161">
        <v>75.92</v>
      </c>
    </row>
    <row r="1162" spans="1:14">
      <c r="A1162" s="1" t="s">
        <v>1174</v>
      </c>
      <c r="B1162">
        <f>HYPERLINK("https://www.suredividend.com/sure-analysis-research-database/","NeoPhotonics Corporation")</f>
        <v>0</v>
      </c>
      <c r="C1162" t="s">
        <v>1920</v>
      </c>
      <c r="D1162">
        <v>16.01</v>
      </c>
      <c r="E1162">
        <v>0</v>
      </c>
      <c r="H1162">
        <v>0</v>
      </c>
      <c r="I1162">
        <v>859.559257</v>
      </c>
      <c r="J1162">
        <v>0</v>
      </c>
      <c r="K1162" t="s">
        <v>1921</v>
      </c>
      <c r="L1162">
        <v>0.274869353252886</v>
      </c>
      <c r="M1162">
        <v>16.14</v>
      </c>
      <c r="N1162">
        <v>7.95</v>
      </c>
    </row>
    <row r="1163" spans="1:14">
      <c r="A1163" s="1" t="s">
        <v>1175</v>
      </c>
      <c r="B1163">
        <f>HYPERLINK("https://www.suredividend.com/sure-analysis-research-database/","Newpark Resources, Inc.")</f>
        <v>0</v>
      </c>
      <c r="C1163" t="s">
        <v>1926</v>
      </c>
      <c r="D1163">
        <v>2.85</v>
      </c>
      <c r="E1163">
        <v>0</v>
      </c>
      <c r="H1163">
        <v>0</v>
      </c>
      <c r="I1163">
        <v>267.899065</v>
      </c>
      <c r="J1163" t="s">
        <v>1921</v>
      </c>
      <c r="K1163">
        <v>-0</v>
      </c>
      <c r="L1163">
        <v>0.8717559688018961</v>
      </c>
      <c r="M1163">
        <v>4.81</v>
      </c>
      <c r="N1163">
        <v>2.38</v>
      </c>
    </row>
    <row r="1164" spans="1:14">
      <c r="A1164" s="1" t="s">
        <v>1176</v>
      </c>
      <c r="B1164">
        <f>HYPERLINK("https://www.suredividend.com/sure-analysis-research-database/","National Research Corp")</f>
        <v>0</v>
      </c>
      <c r="C1164" t="s">
        <v>1922</v>
      </c>
      <c r="D1164">
        <v>39.45</v>
      </c>
      <c r="E1164">
        <v>0.021129525898656</v>
      </c>
      <c r="H1164">
        <v>0.8335597967019941</v>
      </c>
      <c r="I1164">
        <v>977.062805</v>
      </c>
      <c r="J1164">
        <v>27.03923633872976</v>
      </c>
      <c r="K1164">
        <v>0.5870139413394325</v>
      </c>
      <c r="L1164">
        <v>0.501812566212265</v>
      </c>
      <c r="M1164">
        <v>51.28</v>
      </c>
      <c r="N1164">
        <v>30.56</v>
      </c>
    </row>
    <row r="1165" spans="1:14">
      <c r="A1165" s="1" t="s">
        <v>1177</v>
      </c>
      <c r="B1165">
        <f>HYPERLINK("https://www.suredividend.com/sure-analysis-research-database/","Northrim Bancorp, Inc.")</f>
        <v>0</v>
      </c>
      <c r="C1165" t="s">
        <v>1923</v>
      </c>
      <c r="D1165">
        <v>42.47</v>
      </c>
      <c r="E1165">
        <v>0.039426781168037</v>
      </c>
      <c r="F1165">
        <v>0.3157894736842106</v>
      </c>
      <c r="G1165">
        <v>0.1784453978479226</v>
      </c>
      <c r="H1165">
        <v>1.674455396206573</v>
      </c>
      <c r="I1165">
        <v>247.029516</v>
      </c>
      <c r="J1165">
        <v>0</v>
      </c>
      <c r="K1165" t="s">
        <v>1921</v>
      </c>
      <c r="L1165">
        <v>0.506557692885178</v>
      </c>
      <c r="M1165">
        <v>45.48</v>
      </c>
      <c r="N1165">
        <v>37.59</v>
      </c>
    </row>
    <row r="1166" spans="1:14">
      <c r="A1166" s="1" t="s">
        <v>1178</v>
      </c>
      <c r="B1166">
        <f>HYPERLINK("https://www.suredividend.com/sure-analysis-research-database/","Nurix Therapeutics Inc")</f>
        <v>0</v>
      </c>
      <c r="C1166" t="s">
        <v>1921</v>
      </c>
      <c r="D1166">
        <v>10.99</v>
      </c>
      <c r="E1166">
        <v>0</v>
      </c>
      <c r="H1166">
        <v>0</v>
      </c>
      <c r="I1166">
        <v>518.1541130000001</v>
      </c>
      <c r="J1166">
        <v>0</v>
      </c>
      <c r="K1166" t="s">
        <v>1921</v>
      </c>
      <c r="L1166">
        <v>1.495924617674648</v>
      </c>
      <c r="M1166">
        <v>36.24</v>
      </c>
      <c r="N1166">
        <v>7.52</v>
      </c>
    </row>
    <row r="1167" spans="1:14">
      <c r="A1167" s="1" t="s">
        <v>1179</v>
      </c>
      <c r="B1167">
        <f>HYPERLINK("https://www.suredividend.com/sure-analysis-NSA/","National Storage Affiliates Trust")</f>
        <v>0</v>
      </c>
      <c r="C1167" t="s">
        <v>1929</v>
      </c>
      <c r="D1167">
        <v>39.38</v>
      </c>
      <c r="E1167">
        <v>0.0558659217877095</v>
      </c>
      <c r="F1167">
        <v>0.3414634146341464</v>
      </c>
      <c r="G1167">
        <v>0.14456623939758</v>
      </c>
      <c r="H1167">
        <v>2.018490174954276</v>
      </c>
      <c r="I1167">
        <v>3613.571847</v>
      </c>
      <c r="J1167">
        <v>38.98514254221014</v>
      </c>
      <c r="K1167">
        <v>2.549242453844753</v>
      </c>
      <c r="L1167">
        <v>0.8987170285975261</v>
      </c>
      <c r="M1167">
        <v>67.87</v>
      </c>
      <c r="N1167">
        <v>39.06</v>
      </c>
    </row>
    <row r="1168" spans="1:14">
      <c r="A1168" s="1" t="s">
        <v>1180</v>
      </c>
      <c r="B1168">
        <f>HYPERLINK("https://www.suredividend.com/sure-analysis-research-database/","Insight Enterprises Inc.")</f>
        <v>0</v>
      </c>
      <c r="C1168" t="s">
        <v>1920</v>
      </c>
      <c r="D1168">
        <v>85.18000000000001</v>
      </c>
      <c r="E1168">
        <v>0</v>
      </c>
      <c r="H1168">
        <v>0</v>
      </c>
      <c r="I1168">
        <v>2989.382901</v>
      </c>
      <c r="J1168">
        <v>11.34787819413812</v>
      </c>
      <c r="K1168">
        <v>0</v>
      </c>
      <c r="L1168">
        <v>0.7153568432453571</v>
      </c>
      <c r="M1168">
        <v>111.02</v>
      </c>
      <c r="N1168">
        <v>81.11</v>
      </c>
    </row>
    <row r="1169" spans="1:14">
      <c r="A1169" s="1" t="s">
        <v>1181</v>
      </c>
      <c r="B1169">
        <f>HYPERLINK("https://www.suredividend.com/sure-analysis-NSP/","Insperity Inc")</f>
        <v>0</v>
      </c>
      <c r="C1169" t="s">
        <v>1924</v>
      </c>
      <c r="D1169">
        <v>104.71</v>
      </c>
      <c r="E1169">
        <v>0.01986438735555343</v>
      </c>
      <c r="F1169">
        <v>0.1555555555555557</v>
      </c>
      <c r="G1169">
        <v>0.2105832751075947</v>
      </c>
      <c r="H1169">
        <v>1.926288435408881</v>
      </c>
      <c r="I1169">
        <v>3981.684764</v>
      </c>
      <c r="J1169">
        <v>28.3468583471092</v>
      </c>
      <c r="K1169">
        <v>0.5321238771847737</v>
      </c>
      <c r="L1169">
        <v>1.012144158703449</v>
      </c>
      <c r="M1169">
        <v>125.18</v>
      </c>
      <c r="N1169">
        <v>82.67</v>
      </c>
    </row>
    <row r="1170" spans="1:14">
      <c r="A1170" s="1" t="s">
        <v>1182</v>
      </c>
      <c r="B1170">
        <f>HYPERLINK("https://www.suredividend.com/sure-analysis-research-database/","NAPCO Security Technologies Inc")</f>
        <v>0</v>
      </c>
      <c r="C1170" t="s">
        <v>1924</v>
      </c>
      <c r="D1170">
        <v>26.77</v>
      </c>
      <c r="E1170">
        <v>0</v>
      </c>
      <c r="H1170">
        <v>0</v>
      </c>
      <c r="I1170">
        <v>983.382083</v>
      </c>
      <c r="J1170">
        <v>50.17511521710291</v>
      </c>
      <c r="K1170">
        <v>0</v>
      </c>
      <c r="L1170">
        <v>0.9512172485039641</v>
      </c>
      <c r="M1170">
        <v>31.3</v>
      </c>
      <c r="N1170">
        <v>15.39</v>
      </c>
    </row>
    <row r="1171" spans="1:14">
      <c r="A1171" s="1" t="s">
        <v>1183</v>
      </c>
      <c r="B1171">
        <f>HYPERLINK("https://www.suredividend.com/sure-analysis-research-database/","Nanostring Technologies Inc")</f>
        <v>0</v>
      </c>
      <c r="C1171" t="s">
        <v>1922</v>
      </c>
      <c r="D1171">
        <v>11.16</v>
      </c>
      <c r="E1171">
        <v>0</v>
      </c>
      <c r="H1171">
        <v>0</v>
      </c>
      <c r="I1171">
        <v>518.874223</v>
      </c>
      <c r="J1171">
        <v>0</v>
      </c>
      <c r="K1171" t="s">
        <v>1921</v>
      </c>
      <c r="L1171">
        <v>2.039067928074269</v>
      </c>
      <c r="M1171">
        <v>51.2</v>
      </c>
      <c r="N1171">
        <v>10.64</v>
      </c>
    </row>
    <row r="1172" spans="1:14">
      <c r="A1172" s="1" t="s">
        <v>1184</v>
      </c>
      <c r="B1172">
        <f>HYPERLINK("https://www.suredividend.com/sure-analysis-research-database/","Bank of N T Butterfield &amp; Son Ltd.")</f>
        <v>0</v>
      </c>
      <c r="C1172" t="s">
        <v>1923</v>
      </c>
      <c r="D1172">
        <v>33.46</v>
      </c>
      <c r="E1172">
        <v>0.05155680870893101</v>
      </c>
      <c r="F1172">
        <v>0</v>
      </c>
      <c r="G1172">
        <v>0.06576275663547415</v>
      </c>
      <c r="H1172">
        <v>1.725090819400839</v>
      </c>
      <c r="I1172">
        <v>1670.033804</v>
      </c>
      <c r="J1172">
        <v>0</v>
      </c>
      <c r="K1172" t="s">
        <v>1921</v>
      </c>
      <c r="L1172">
        <v>0.7776291006334199</v>
      </c>
      <c r="M1172">
        <v>40.08</v>
      </c>
      <c r="N1172">
        <v>28.29</v>
      </c>
    </row>
    <row r="1173" spans="1:14">
      <c r="A1173" s="1" t="s">
        <v>1185</v>
      </c>
      <c r="B1173">
        <f>HYPERLINK("https://www.suredividend.com/sure-analysis-research-database/","Netscout Systems Inc")</f>
        <v>0</v>
      </c>
      <c r="C1173" t="s">
        <v>1920</v>
      </c>
      <c r="D1173">
        <v>31.77</v>
      </c>
      <c r="E1173">
        <v>0</v>
      </c>
      <c r="H1173">
        <v>0</v>
      </c>
      <c r="I1173">
        <v>2271.038197</v>
      </c>
      <c r="J1173">
        <v>56.65838877853454</v>
      </c>
      <c r="K1173">
        <v>0</v>
      </c>
      <c r="L1173">
        <v>0.740716498866806</v>
      </c>
      <c r="M1173">
        <v>37.68</v>
      </c>
      <c r="N1173">
        <v>26.61</v>
      </c>
    </row>
    <row r="1174" spans="1:14">
      <c r="A1174" s="1" t="s">
        <v>1186</v>
      </c>
      <c r="B1174">
        <f>HYPERLINK("https://www.suredividend.com/sure-analysis-research-database/","Netgear Inc")</f>
        <v>0</v>
      </c>
      <c r="C1174" t="s">
        <v>1920</v>
      </c>
      <c r="D1174">
        <v>19.9</v>
      </c>
      <c r="E1174">
        <v>0</v>
      </c>
      <c r="H1174">
        <v>0</v>
      </c>
      <c r="I1174">
        <v>571.806103</v>
      </c>
      <c r="J1174" t="s">
        <v>1921</v>
      </c>
      <c r="K1174">
        <v>-0</v>
      </c>
      <c r="L1174">
        <v>0.974108581839332</v>
      </c>
      <c r="M1174">
        <v>34.14</v>
      </c>
      <c r="N1174">
        <v>17.4</v>
      </c>
    </row>
    <row r="1175" spans="1:14">
      <c r="A1175" s="1" t="s">
        <v>1187</v>
      </c>
      <c r="B1175">
        <f>HYPERLINK("https://www.suredividend.com/sure-analysis-research-database/","Intellia Therapeutics Inc")</f>
        <v>0</v>
      </c>
      <c r="C1175" t="s">
        <v>1922</v>
      </c>
      <c r="D1175">
        <v>54.31</v>
      </c>
      <c r="E1175">
        <v>0</v>
      </c>
      <c r="H1175">
        <v>0</v>
      </c>
      <c r="I1175">
        <v>4128.199989</v>
      </c>
      <c r="J1175" t="s">
        <v>1921</v>
      </c>
      <c r="K1175">
        <v>-0</v>
      </c>
      <c r="L1175">
        <v>2.243112845177707</v>
      </c>
      <c r="M1175">
        <v>143.92</v>
      </c>
      <c r="N1175">
        <v>37.08</v>
      </c>
    </row>
    <row r="1176" spans="1:14">
      <c r="A1176" s="1" t="s">
        <v>1188</v>
      </c>
      <c r="B1176">
        <f>HYPERLINK("https://www.suredividend.com/sure-analysis-NTST/","Netstreit Corp")</f>
        <v>0</v>
      </c>
      <c r="C1176" t="s">
        <v>1921</v>
      </c>
      <c r="D1176">
        <v>18</v>
      </c>
      <c r="E1176">
        <v>0.04444444444444445</v>
      </c>
      <c r="H1176">
        <v>0.7922225406600101</v>
      </c>
      <c r="I1176">
        <v>906.143184</v>
      </c>
      <c r="J1176">
        <v>0</v>
      </c>
      <c r="K1176" t="s">
        <v>1921</v>
      </c>
      <c r="L1176">
        <v>0.668149563386778</v>
      </c>
      <c r="M1176">
        <v>24.88</v>
      </c>
      <c r="N1176">
        <v>17.07</v>
      </c>
    </row>
    <row r="1177" spans="1:14">
      <c r="A1177" s="1" t="s">
        <v>1189</v>
      </c>
      <c r="B1177">
        <f>HYPERLINK("https://www.suredividend.com/sure-analysis-research-database/","Natus Medical Inc")</f>
        <v>0</v>
      </c>
      <c r="C1177" t="s">
        <v>1922</v>
      </c>
      <c r="D1177">
        <v>32.96</v>
      </c>
      <c r="E1177">
        <v>0</v>
      </c>
      <c r="H1177">
        <v>0</v>
      </c>
      <c r="I1177">
        <v>0</v>
      </c>
      <c r="J1177">
        <v>0</v>
      </c>
      <c r="K1177">
        <v>0</v>
      </c>
    </row>
    <row r="1178" spans="1:14">
      <c r="A1178" s="1" t="s">
        <v>1190</v>
      </c>
      <c r="B1178">
        <f>HYPERLINK("https://www.suredividend.com/sure-analysis-NUS/","Nu Skin Enterprises, Inc.")</f>
        <v>0</v>
      </c>
      <c r="C1178" t="s">
        <v>1928</v>
      </c>
      <c r="D1178">
        <v>35.19</v>
      </c>
      <c r="E1178">
        <v>0.04376243250923558</v>
      </c>
      <c r="F1178">
        <v>0.01315789473684204</v>
      </c>
      <c r="G1178">
        <v>0.01351841916935714</v>
      </c>
      <c r="H1178">
        <v>1.515188749871835</v>
      </c>
      <c r="I1178">
        <v>1772.893525</v>
      </c>
      <c r="J1178">
        <v>15.62695370812068</v>
      </c>
      <c r="K1178">
        <v>0.6825174548972229</v>
      </c>
      <c r="L1178">
        <v>0.8953333895383411</v>
      </c>
      <c r="M1178">
        <v>55.32</v>
      </c>
      <c r="N1178">
        <v>33.29</v>
      </c>
    </row>
    <row r="1179" spans="1:14">
      <c r="A1179" s="1" t="s">
        <v>1191</v>
      </c>
      <c r="B1179">
        <f>HYPERLINK("https://www.suredividend.com/sure-analysis-research-database/","Nuvasive Inc")</f>
        <v>0</v>
      </c>
      <c r="C1179" t="s">
        <v>1922</v>
      </c>
      <c r="D1179">
        <v>40</v>
      </c>
      <c r="E1179">
        <v>0</v>
      </c>
      <c r="H1179">
        <v>0</v>
      </c>
      <c r="I1179">
        <v>2082.43992</v>
      </c>
      <c r="J1179" t="s">
        <v>1921</v>
      </c>
      <c r="K1179">
        <v>-0</v>
      </c>
      <c r="L1179">
        <v>1.083005200071926</v>
      </c>
      <c r="M1179">
        <v>62.83</v>
      </c>
      <c r="N1179">
        <v>39.58</v>
      </c>
    </row>
    <row r="1180" spans="1:14">
      <c r="A1180" s="1" t="s">
        <v>1192</v>
      </c>
      <c r="B1180">
        <f>HYPERLINK("https://www.suredividend.com/sure-analysis-research-database/","Nuvation Bio Inc")</f>
        <v>0</v>
      </c>
      <c r="C1180" t="s">
        <v>1921</v>
      </c>
      <c r="D1180">
        <v>2.33</v>
      </c>
      <c r="E1180">
        <v>0</v>
      </c>
      <c r="H1180">
        <v>0</v>
      </c>
      <c r="I1180">
        <v>508.509219</v>
      </c>
      <c r="J1180">
        <v>0</v>
      </c>
      <c r="K1180" t="s">
        <v>1921</v>
      </c>
      <c r="L1180">
        <v>1.174838292570715</v>
      </c>
      <c r="M1180">
        <v>10.45</v>
      </c>
      <c r="N1180">
        <v>1.92</v>
      </c>
    </row>
    <row r="1181" spans="1:14">
      <c r="A1181" s="1" t="s">
        <v>1193</v>
      </c>
      <c r="B1181">
        <f>HYPERLINK("https://www.suredividend.com/sure-analysis-research-database/","Nuvalent Inc")</f>
        <v>0</v>
      </c>
      <c r="C1181" t="s">
        <v>1921</v>
      </c>
      <c r="D1181">
        <v>18.68</v>
      </c>
      <c r="E1181">
        <v>0</v>
      </c>
      <c r="H1181">
        <v>0</v>
      </c>
      <c r="I1181">
        <v>802.825528</v>
      </c>
      <c r="J1181">
        <v>0</v>
      </c>
      <c r="K1181" t="s">
        <v>1921</v>
      </c>
      <c r="L1181">
        <v>1.780168173902048</v>
      </c>
      <c r="M1181">
        <v>31.43</v>
      </c>
      <c r="N1181">
        <v>7.09</v>
      </c>
    </row>
    <row r="1182" spans="1:14">
      <c r="A1182" s="1" t="s">
        <v>1194</v>
      </c>
      <c r="B1182">
        <f>HYPERLINK("https://www.suredividend.com/sure-analysis-research-database/","NVE Corp")</f>
        <v>0</v>
      </c>
      <c r="C1182" t="s">
        <v>1920</v>
      </c>
      <c r="D1182">
        <v>47.48</v>
      </c>
      <c r="E1182">
        <v>0.08188385137610101</v>
      </c>
      <c r="F1182">
        <v>0</v>
      </c>
      <c r="G1182">
        <v>0</v>
      </c>
      <c r="H1182">
        <v>3.887845263337284</v>
      </c>
      <c r="I1182">
        <v>229.367618</v>
      </c>
      <c r="J1182">
        <v>15.22211588479492</v>
      </c>
      <c r="K1182">
        <v>1.246104251069642</v>
      </c>
      <c r="L1182">
        <v>0.7770333312332751</v>
      </c>
      <c r="M1182">
        <v>71.36</v>
      </c>
      <c r="N1182">
        <v>42.56</v>
      </c>
    </row>
    <row r="1183" spans="1:14">
      <c r="A1183" s="1" t="s">
        <v>1195</v>
      </c>
      <c r="B1183">
        <f>HYPERLINK("https://www.suredividend.com/sure-analysis-research-database/","NV5 Global Inc")</f>
        <v>0</v>
      </c>
      <c r="C1183" t="s">
        <v>1924</v>
      </c>
      <c r="D1183">
        <v>127.42</v>
      </c>
      <c r="E1183">
        <v>0</v>
      </c>
      <c r="H1183">
        <v>0</v>
      </c>
      <c r="I1183">
        <v>1974.430366</v>
      </c>
      <c r="J1183">
        <v>0</v>
      </c>
      <c r="K1183" t="s">
        <v>1921</v>
      </c>
      <c r="L1183">
        <v>0.6492940225242491</v>
      </c>
      <c r="M1183">
        <v>147.27</v>
      </c>
      <c r="N1183">
        <v>97.58</v>
      </c>
    </row>
    <row r="1184" spans="1:14">
      <c r="A1184" s="1" t="s">
        <v>1196</v>
      </c>
      <c r="B1184">
        <f>HYPERLINK("https://www.suredividend.com/sure-analysis-research-database/","Nevro Corp")</f>
        <v>0</v>
      </c>
      <c r="C1184" t="s">
        <v>1922</v>
      </c>
      <c r="D1184">
        <v>36.45</v>
      </c>
      <c r="E1184">
        <v>0</v>
      </c>
      <c r="H1184">
        <v>0</v>
      </c>
      <c r="I1184">
        <v>1289.886732</v>
      </c>
      <c r="J1184" t="s">
        <v>1921</v>
      </c>
      <c r="K1184">
        <v>-0</v>
      </c>
      <c r="L1184">
        <v>1.608217780162326</v>
      </c>
      <c r="M1184">
        <v>121.78</v>
      </c>
      <c r="N1184">
        <v>36.44</v>
      </c>
    </row>
    <row r="1185" spans="1:14">
      <c r="A1185" s="1" t="s">
        <v>1197</v>
      </c>
      <c r="B1185">
        <f>HYPERLINK("https://www.suredividend.com/sure-analysis-research-database/","Invitae Corp")</f>
        <v>0</v>
      </c>
      <c r="C1185" t="s">
        <v>1922</v>
      </c>
      <c r="D1185">
        <v>2.2</v>
      </c>
      <c r="E1185">
        <v>0</v>
      </c>
      <c r="H1185">
        <v>0</v>
      </c>
      <c r="I1185">
        <v>517.585369</v>
      </c>
      <c r="J1185" t="s">
        <v>1921</v>
      </c>
      <c r="K1185">
        <v>-0</v>
      </c>
      <c r="L1185">
        <v>3.879957772046513</v>
      </c>
      <c r="M1185">
        <v>29.15</v>
      </c>
      <c r="N1185">
        <v>1.83</v>
      </c>
    </row>
    <row r="1186" spans="1:14">
      <c r="A1186" s="1" t="s">
        <v>1198</v>
      </c>
      <c r="B1186">
        <f>HYPERLINK("https://www.suredividend.com/sure-analysis-NWBI/","Northwest Bancshares Inc")</f>
        <v>0</v>
      </c>
      <c r="C1186" t="s">
        <v>1923</v>
      </c>
      <c r="D1186">
        <v>13.59</v>
      </c>
      <c r="E1186">
        <v>0.05886681383370126</v>
      </c>
      <c r="F1186">
        <v>0</v>
      </c>
      <c r="G1186">
        <v>0.04563955259127317</v>
      </c>
      <c r="H1186">
        <v>0.782552943965904</v>
      </c>
      <c r="I1186">
        <v>1724.245329</v>
      </c>
      <c r="J1186">
        <v>13.70384614169223</v>
      </c>
      <c r="K1186">
        <v>0.7883870078238001</v>
      </c>
      <c r="L1186">
        <v>0.455336877407036</v>
      </c>
      <c r="M1186">
        <v>15.22</v>
      </c>
      <c r="N1186">
        <v>11.87</v>
      </c>
    </row>
    <row r="1187" spans="1:14">
      <c r="A1187" s="1" t="s">
        <v>1199</v>
      </c>
      <c r="B1187">
        <f>HYPERLINK("https://www.suredividend.com/sure-analysis-NWE/","Northwestern Corp.")</f>
        <v>0</v>
      </c>
      <c r="C1187" t="s">
        <v>1930</v>
      </c>
      <c r="D1187">
        <v>49.48</v>
      </c>
      <c r="E1187">
        <v>0.05092966855295069</v>
      </c>
      <c r="F1187">
        <v>0.0161290322580645</v>
      </c>
      <c r="G1187">
        <v>0.03713728933664817</v>
      </c>
      <c r="H1187">
        <v>2.468242638289947</v>
      </c>
      <c r="I1187">
        <v>2778.304474</v>
      </c>
      <c r="J1187">
        <v>15.83729207424128</v>
      </c>
      <c r="K1187">
        <v>0.7594592733199838</v>
      </c>
      <c r="L1187">
        <v>0.317491232409618</v>
      </c>
      <c r="M1187">
        <v>61.64</v>
      </c>
      <c r="N1187">
        <v>49.05</v>
      </c>
    </row>
    <row r="1188" spans="1:14">
      <c r="A1188" s="1" t="s">
        <v>1200</v>
      </c>
      <c r="B1188">
        <f>HYPERLINK("https://www.suredividend.com/sure-analysis-research-database/","National Western Life Group Inc")</f>
        <v>0</v>
      </c>
      <c r="C1188" t="s">
        <v>1923</v>
      </c>
      <c r="D1188">
        <v>170.25</v>
      </c>
      <c r="E1188">
        <v>0.002114537528958</v>
      </c>
      <c r="H1188">
        <v>0.360000014305114</v>
      </c>
      <c r="I1188">
        <v>584.982405</v>
      </c>
      <c r="J1188">
        <v>4.354848208503004</v>
      </c>
      <c r="K1188">
        <v>0.009544008862807901</v>
      </c>
      <c r="L1188">
        <v>0.710185143259168</v>
      </c>
      <c r="M1188">
        <v>236.97</v>
      </c>
      <c r="N1188">
        <v>166.94</v>
      </c>
    </row>
    <row r="1189" spans="1:14">
      <c r="A1189" s="1" t="s">
        <v>1201</v>
      </c>
      <c r="B1189">
        <f>HYPERLINK("https://www.suredividend.com/sure-analysis-NWN/","Northwest Natural Holding Co")</f>
        <v>0</v>
      </c>
      <c r="C1189" t="s">
        <v>1930</v>
      </c>
      <c r="D1189">
        <v>42.79</v>
      </c>
      <c r="E1189">
        <v>0.0451039962608086</v>
      </c>
      <c r="H1189">
        <v>1.902646828317238</v>
      </c>
      <c r="I1189">
        <v>1465.788994</v>
      </c>
      <c r="J1189">
        <v>18.83393929998586</v>
      </c>
      <c r="K1189">
        <v>0.7765905421703012</v>
      </c>
      <c r="L1189">
        <v>0.371744442080697</v>
      </c>
      <c r="M1189">
        <v>56.55</v>
      </c>
      <c r="N1189">
        <v>41.83</v>
      </c>
    </row>
    <row r="1190" spans="1:14">
      <c r="A1190" s="1" t="s">
        <v>1202</v>
      </c>
      <c r="B1190">
        <f>HYPERLINK("https://www.suredividend.com/sure-analysis-research-database/","Northwest Pipe Co.")</f>
        <v>0</v>
      </c>
      <c r="C1190" t="s">
        <v>1924</v>
      </c>
      <c r="D1190">
        <v>30.4</v>
      </c>
      <c r="E1190">
        <v>0</v>
      </c>
      <c r="H1190">
        <v>0</v>
      </c>
      <c r="I1190">
        <v>301.791744</v>
      </c>
      <c r="J1190">
        <v>14.75826416939704</v>
      </c>
      <c r="K1190">
        <v>0</v>
      </c>
      <c r="L1190">
        <v>0.502517384370182</v>
      </c>
      <c r="M1190">
        <v>34.94</v>
      </c>
      <c r="N1190">
        <v>23.11</v>
      </c>
    </row>
    <row r="1191" spans="1:14">
      <c r="A1191" s="1" t="s">
        <v>1203</v>
      </c>
      <c r="B1191">
        <f>HYPERLINK("https://www.suredividend.com/sure-analysis-research-database/","Quanex Building Products Corp")</f>
        <v>0</v>
      </c>
      <c r="C1191" t="s">
        <v>1924</v>
      </c>
      <c r="D1191">
        <v>20.25</v>
      </c>
      <c r="E1191">
        <v>0.015713278502754</v>
      </c>
      <c r="F1191">
        <v>0</v>
      </c>
      <c r="G1191">
        <v>0.1486983549970351</v>
      </c>
      <c r="H1191">
        <v>0.318193889680785</v>
      </c>
      <c r="I1191">
        <v>670.867313</v>
      </c>
      <c r="J1191">
        <v>7.932968090389868</v>
      </c>
      <c r="K1191">
        <v>0.1252731849136949</v>
      </c>
      <c r="L1191">
        <v>0.932489640300574</v>
      </c>
      <c r="M1191">
        <v>25.84</v>
      </c>
      <c r="N1191">
        <v>18</v>
      </c>
    </row>
    <row r="1192" spans="1:14">
      <c r="A1192" s="1" t="s">
        <v>1204</v>
      </c>
      <c r="B1192">
        <f>HYPERLINK("https://www.suredividend.com/sure-analysis-research-database/","NextGen Healthcare Inc")</f>
        <v>0</v>
      </c>
      <c r="C1192" t="s">
        <v>1922</v>
      </c>
      <c r="D1192">
        <v>17.98</v>
      </c>
      <c r="E1192">
        <v>0</v>
      </c>
      <c r="H1192">
        <v>0</v>
      </c>
      <c r="I1192">
        <v>1222.977754</v>
      </c>
      <c r="J1192" t="s">
        <v>1921</v>
      </c>
      <c r="K1192">
        <v>-0</v>
      </c>
      <c r="L1192">
        <v>0.601894100551973</v>
      </c>
      <c r="M1192">
        <v>21.87</v>
      </c>
      <c r="N1192">
        <v>14.16</v>
      </c>
    </row>
    <row r="1193" spans="1:14">
      <c r="A1193" s="1" t="s">
        <v>1205</v>
      </c>
      <c r="B1193">
        <f>HYPERLINK("https://www.suredividend.com/sure-analysis-NXRT/","NexPoint Residential Trust Inc")</f>
        <v>0</v>
      </c>
      <c r="C1193" t="s">
        <v>1929</v>
      </c>
      <c r="D1193">
        <v>40.37</v>
      </c>
      <c r="E1193">
        <v>0.0376517215754273</v>
      </c>
      <c r="F1193">
        <v>0.1135531135531134</v>
      </c>
      <c r="G1193">
        <v>0.08734839457107491</v>
      </c>
      <c r="H1193">
        <v>1.505607463784448</v>
      </c>
      <c r="I1193">
        <v>1035.407419</v>
      </c>
      <c r="J1193">
        <v>49.60273155791894</v>
      </c>
      <c r="K1193">
        <v>1.877550148128754</v>
      </c>
      <c r="L1193">
        <v>0.7178349782044471</v>
      </c>
      <c r="M1193">
        <v>93.78</v>
      </c>
      <c r="N1193">
        <v>39.86</v>
      </c>
    </row>
    <row r="1194" spans="1:14">
      <c r="A1194" s="1" t="s">
        <v>1206</v>
      </c>
      <c r="B1194">
        <f>HYPERLINK("https://www.suredividend.com/sure-analysis-NYMT/","New York Mortgage Trust Inc")</f>
        <v>0</v>
      </c>
      <c r="C1194" t="s">
        <v>1929</v>
      </c>
      <c r="D1194">
        <v>2.23</v>
      </c>
      <c r="E1194">
        <v>0.1793721973094171</v>
      </c>
      <c r="H1194">
        <v>0.378838531951997</v>
      </c>
      <c r="I1194">
        <v>850.185339</v>
      </c>
      <c r="J1194" t="s">
        <v>1921</v>
      </c>
      <c r="K1194" t="s">
        <v>1921</v>
      </c>
      <c r="L1194">
        <v>1.047082631112454</v>
      </c>
      <c r="M1194">
        <v>3.95</v>
      </c>
      <c r="N1194">
        <v>2.07</v>
      </c>
    </row>
    <row r="1195" spans="1:14">
      <c r="A1195" s="1" t="s">
        <v>1207</v>
      </c>
      <c r="B1195">
        <f>HYPERLINK("https://www.suredividend.com/sure-analysis-research-database/","Oasis Petroleum Inc.")</f>
        <v>0</v>
      </c>
      <c r="C1195" t="s">
        <v>1926</v>
      </c>
      <c r="D1195">
        <v>109.3</v>
      </c>
      <c r="E1195">
        <v>0.016078129074666</v>
      </c>
      <c r="H1195">
        <v>1.757339507861067</v>
      </c>
      <c r="I1195">
        <v>2145.305533</v>
      </c>
      <c r="J1195" t="s">
        <v>1921</v>
      </c>
      <c r="K1195" t="s">
        <v>1921</v>
      </c>
      <c r="L1195">
        <v>0.91924262363451</v>
      </c>
      <c r="M1195">
        <v>158.98</v>
      </c>
      <c r="N1195">
        <v>67.28</v>
      </c>
    </row>
    <row r="1196" spans="1:14">
      <c r="A1196" s="1" t="s">
        <v>1208</v>
      </c>
      <c r="B1196">
        <f>HYPERLINK("https://www.suredividend.com/sure-analysis-research-database/","Outbrain Inc")</f>
        <v>0</v>
      </c>
      <c r="C1196" t="s">
        <v>1921</v>
      </c>
      <c r="D1196">
        <v>3.97</v>
      </c>
      <c r="E1196">
        <v>0</v>
      </c>
      <c r="H1196">
        <v>0</v>
      </c>
      <c r="I1196">
        <v>221.285362</v>
      </c>
      <c r="J1196">
        <v>0</v>
      </c>
      <c r="K1196" t="s">
        <v>1921</v>
      </c>
      <c r="L1196">
        <v>1.304993105355374</v>
      </c>
      <c r="M1196">
        <v>17.74</v>
      </c>
      <c r="N1196">
        <v>3.42</v>
      </c>
    </row>
    <row r="1197" spans="1:14">
      <c r="A1197" s="1" t="s">
        <v>1209</v>
      </c>
      <c r="B1197">
        <f>HYPERLINK("https://www.suredividend.com/sure-analysis-research-database/","Origin Bancorp Inc")</f>
        <v>0</v>
      </c>
      <c r="C1197" t="s">
        <v>1923</v>
      </c>
      <c r="D1197">
        <v>39.08</v>
      </c>
      <c r="E1197">
        <v>0.014259681028033</v>
      </c>
      <c r="H1197">
        <v>0.557268334575557</v>
      </c>
      <c r="I1197">
        <v>930.404017</v>
      </c>
      <c r="J1197">
        <v>9.562809804921168</v>
      </c>
      <c r="K1197">
        <v>0.1355884025731282</v>
      </c>
      <c r="L1197">
        <v>0.602047375258562</v>
      </c>
      <c r="M1197">
        <v>47.13</v>
      </c>
      <c r="N1197">
        <v>36.68</v>
      </c>
    </row>
    <row r="1198" spans="1:14">
      <c r="A1198" s="1" t="s">
        <v>1210</v>
      </c>
      <c r="B1198">
        <f>HYPERLINK("https://www.suredividend.com/sure-analysis-research-database/","Ortho Clinical Diagnostics Holdings plc")</f>
        <v>0</v>
      </c>
      <c r="C1198" t="s">
        <v>1921</v>
      </c>
      <c r="D1198">
        <v>17.63</v>
      </c>
      <c r="E1198">
        <v>0</v>
      </c>
      <c r="H1198">
        <v>0</v>
      </c>
      <c r="I1198">
        <v>0</v>
      </c>
      <c r="J1198">
        <v>0</v>
      </c>
      <c r="K1198" t="s">
        <v>1921</v>
      </c>
    </row>
    <row r="1199" spans="1:14">
      <c r="A1199" s="1" t="s">
        <v>1211</v>
      </c>
      <c r="B1199">
        <f>HYPERLINK("https://www.suredividend.com/sure-analysis-research-database/","OceanFirst Financial Corp.")</f>
        <v>0</v>
      </c>
      <c r="C1199" t="s">
        <v>1923</v>
      </c>
      <c r="D1199">
        <v>19.13</v>
      </c>
      <c r="E1199">
        <v>0.036635004031507</v>
      </c>
      <c r="F1199">
        <v>0.1764705882352942</v>
      </c>
      <c r="G1199">
        <v>0.05922384104881218</v>
      </c>
      <c r="H1199">
        <v>0.70082762712274</v>
      </c>
      <c r="I1199">
        <v>1136.13531</v>
      </c>
      <c r="J1199">
        <v>11.64932440253056</v>
      </c>
      <c r="K1199">
        <v>0.4247440164380243</v>
      </c>
      <c r="L1199">
        <v>0.556277293911929</v>
      </c>
      <c r="M1199">
        <v>23.62</v>
      </c>
      <c r="N1199">
        <v>18</v>
      </c>
    </row>
    <row r="1200" spans="1:14">
      <c r="A1200" s="1" t="s">
        <v>1212</v>
      </c>
      <c r="B1200">
        <f>HYPERLINK("https://www.suredividend.com/sure-analysis-research-database/","Ocugen Inc")</f>
        <v>0</v>
      </c>
      <c r="C1200" t="s">
        <v>1922</v>
      </c>
      <c r="D1200">
        <v>1.61</v>
      </c>
      <c r="E1200">
        <v>0</v>
      </c>
      <c r="H1200">
        <v>0</v>
      </c>
      <c r="I1200">
        <v>348.671125</v>
      </c>
      <c r="J1200">
        <v>0</v>
      </c>
      <c r="K1200" t="s">
        <v>1921</v>
      </c>
      <c r="L1200">
        <v>2.536071241292468</v>
      </c>
      <c r="M1200">
        <v>17.65</v>
      </c>
      <c r="N1200">
        <v>1.58</v>
      </c>
    </row>
    <row r="1201" spans="1:14">
      <c r="A1201" s="1" t="s">
        <v>1213</v>
      </c>
      <c r="B1201">
        <f>HYPERLINK("https://www.suredividend.com/sure-analysis-research-database/","Ocwen Financial Corp.")</f>
        <v>0</v>
      </c>
      <c r="C1201" t="s">
        <v>1923</v>
      </c>
      <c r="D1201">
        <v>24.23</v>
      </c>
      <c r="E1201">
        <v>0</v>
      </c>
      <c r="H1201">
        <v>0</v>
      </c>
      <c r="I1201">
        <v>202.166082</v>
      </c>
      <c r="J1201">
        <v>2.289718122727736</v>
      </c>
      <c r="K1201">
        <v>0</v>
      </c>
      <c r="L1201">
        <v>1.012380154585493</v>
      </c>
      <c r="M1201">
        <v>41.92</v>
      </c>
      <c r="N1201">
        <v>17.76</v>
      </c>
    </row>
    <row r="1202" spans="1:14">
      <c r="A1202" s="1" t="s">
        <v>1214</v>
      </c>
      <c r="B1202">
        <f>HYPERLINK("https://www.suredividend.com/sure-analysis-research-database/","Ocular Therapeutix Inc")</f>
        <v>0</v>
      </c>
      <c r="C1202" t="s">
        <v>1922</v>
      </c>
      <c r="D1202">
        <v>3.95</v>
      </c>
      <c r="E1202">
        <v>0</v>
      </c>
      <c r="H1202">
        <v>0</v>
      </c>
      <c r="I1202">
        <v>304.019212</v>
      </c>
      <c r="J1202">
        <v>0</v>
      </c>
      <c r="K1202" t="s">
        <v>1921</v>
      </c>
      <c r="L1202">
        <v>1.417067314318742</v>
      </c>
      <c r="M1202">
        <v>12.5</v>
      </c>
      <c r="N1202">
        <v>2.91</v>
      </c>
    </row>
    <row r="1203" spans="1:14">
      <c r="A1203" s="1" t="s">
        <v>1215</v>
      </c>
      <c r="B1203">
        <f>HYPERLINK("https://www.suredividend.com/sure-analysis-research-database/","Oncocyte Corporation")</f>
        <v>0</v>
      </c>
      <c r="C1203" t="s">
        <v>1922</v>
      </c>
      <c r="D1203">
        <v>0.7724000000000001</v>
      </c>
      <c r="E1203">
        <v>0</v>
      </c>
      <c r="H1203">
        <v>0</v>
      </c>
      <c r="I1203">
        <v>91.61345300000001</v>
      </c>
      <c r="J1203">
        <v>0</v>
      </c>
      <c r="K1203" t="s">
        <v>1921</v>
      </c>
      <c r="L1203">
        <v>1.084125762383373</v>
      </c>
      <c r="M1203">
        <v>3.73</v>
      </c>
      <c r="N1203">
        <v>0.68</v>
      </c>
    </row>
    <row r="1204" spans="1:14">
      <c r="A1204" s="1" t="s">
        <v>1216</v>
      </c>
      <c r="B1204">
        <f>HYPERLINK("https://www.suredividend.com/sure-analysis-research-database/","Oil-Dri Corp. Of America")</f>
        <v>0</v>
      </c>
      <c r="C1204" t="s">
        <v>1925</v>
      </c>
      <c r="D1204">
        <v>22.65</v>
      </c>
      <c r="E1204">
        <v>0.04740826614391901</v>
      </c>
      <c r="F1204">
        <v>0.03703703703703698</v>
      </c>
      <c r="G1204">
        <v>0.04012620718096094</v>
      </c>
      <c r="H1204">
        <v>1.073797228159779</v>
      </c>
      <c r="I1204">
        <v>116.58861</v>
      </c>
      <c r="J1204">
        <v>123.767101910828</v>
      </c>
      <c r="K1204">
        <v>7.959949801036166</v>
      </c>
      <c r="L1204">
        <v>0.326206669768792</v>
      </c>
      <c r="M1204">
        <v>35.85</v>
      </c>
      <c r="N1204">
        <v>22.2</v>
      </c>
    </row>
    <row r="1205" spans="1:14">
      <c r="A1205" s="1" t="s">
        <v>1217</v>
      </c>
      <c r="B1205">
        <f>HYPERLINK("https://www.suredividend.com/sure-analysis-research-database/","ODP Corporation (The)")</f>
        <v>0</v>
      </c>
      <c r="C1205" t="s">
        <v>1927</v>
      </c>
      <c r="D1205">
        <v>35.2</v>
      </c>
      <c r="E1205">
        <v>0</v>
      </c>
      <c r="H1205">
        <v>0</v>
      </c>
      <c r="I1205">
        <v>1731.729085</v>
      </c>
      <c r="J1205" t="s">
        <v>1921</v>
      </c>
      <c r="K1205">
        <v>-0</v>
      </c>
      <c r="L1205">
        <v>0.794404584140125</v>
      </c>
      <c r="M1205">
        <v>48</v>
      </c>
      <c r="N1205">
        <v>28.85</v>
      </c>
    </row>
    <row r="1206" spans="1:14">
      <c r="A1206" s="1" t="s">
        <v>1218</v>
      </c>
      <c r="B1206">
        <f>HYPERLINK("https://www.suredividend.com/sure-analysis-research-database/","Orion Engineered Carbons S.A.")</f>
        <v>0</v>
      </c>
      <c r="C1206" t="s">
        <v>1925</v>
      </c>
      <c r="D1206">
        <v>13.6</v>
      </c>
      <c r="E1206">
        <v>0.006029010446081001</v>
      </c>
      <c r="H1206">
        <v>0.081994542066711</v>
      </c>
      <c r="I1206">
        <v>826.9781379999999</v>
      </c>
      <c r="J1206">
        <v>0</v>
      </c>
      <c r="K1206" t="s">
        <v>1921</v>
      </c>
      <c r="L1206">
        <v>1.033426954303963</v>
      </c>
      <c r="M1206">
        <v>20.91</v>
      </c>
      <c r="N1206">
        <v>13.19</v>
      </c>
    </row>
    <row r="1207" spans="1:14">
      <c r="A1207" s="1" t="s">
        <v>1219</v>
      </c>
      <c r="B1207">
        <f>HYPERLINK("https://www.suredividend.com/sure-analysis-OFC/","Corporate Office Properties Trust")</f>
        <v>0</v>
      </c>
      <c r="C1207" t="s">
        <v>1929</v>
      </c>
      <c r="D1207">
        <v>23.03</v>
      </c>
      <c r="E1207">
        <v>0.04776378636561007</v>
      </c>
      <c r="F1207">
        <v>0</v>
      </c>
      <c r="G1207">
        <v>0</v>
      </c>
      <c r="H1207">
        <v>1.082267508605992</v>
      </c>
      <c r="I1207">
        <v>2588.913972</v>
      </c>
      <c r="J1207">
        <v>19.50305831126077</v>
      </c>
      <c r="K1207">
        <v>0.9171758547508408</v>
      </c>
      <c r="L1207">
        <v>0.576847579447343</v>
      </c>
      <c r="M1207">
        <v>28.76</v>
      </c>
      <c r="N1207">
        <v>22.22</v>
      </c>
    </row>
    <row r="1208" spans="1:14">
      <c r="A1208" s="1" t="s">
        <v>1220</v>
      </c>
      <c r="B1208">
        <f>HYPERLINK("https://www.suredividend.com/sure-analysis-research-database/","OFG Bancorp")</f>
        <v>0</v>
      </c>
      <c r="C1208" t="s">
        <v>1923</v>
      </c>
      <c r="D1208">
        <v>26.19</v>
      </c>
      <c r="E1208">
        <v>0.023465038424276</v>
      </c>
      <c r="F1208">
        <v>0.6666666666666667</v>
      </c>
      <c r="G1208">
        <v>0.2722596365393921</v>
      </c>
      <c r="H1208">
        <v>0.6145493563318041</v>
      </c>
      <c r="I1208">
        <v>1245.432005</v>
      </c>
      <c r="J1208">
        <v>8.145189173402919</v>
      </c>
      <c r="K1208">
        <v>0.2008331229842497</v>
      </c>
      <c r="L1208">
        <v>0.8167956781297311</v>
      </c>
      <c r="M1208">
        <v>30.35</v>
      </c>
      <c r="N1208">
        <v>21.71</v>
      </c>
    </row>
    <row r="1209" spans="1:14">
      <c r="A1209" s="1" t="s">
        <v>1221</v>
      </c>
      <c r="B1209">
        <f>HYPERLINK("https://www.suredividend.com/sure-analysis-research-database/","Orthofix Medical Inc")</f>
        <v>0</v>
      </c>
      <c r="C1209" t="s">
        <v>1922</v>
      </c>
      <c r="D1209">
        <v>18.4</v>
      </c>
      <c r="E1209">
        <v>0</v>
      </c>
      <c r="H1209">
        <v>0</v>
      </c>
      <c r="I1209">
        <v>368.066921</v>
      </c>
      <c r="J1209" t="s">
        <v>1921</v>
      </c>
      <c r="K1209">
        <v>-0</v>
      </c>
      <c r="L1209">
        <v>0.707734043487108</v>
      </c>
      <c r="M1209">
        <v>38.83</v>
      </c>
      <c r="N1209">
        <v>18.2</v>
      </c>
    </row>
    <row r="1210" spans="1:14">
      <c r="A1210" s="1" t="s">
        <v>1222</v>
      </c>
      <c r="B1210">
        <f>HYPERLINK("https://www.suredividend.com/sure-analysis-research-database/","Omega Flex Inc")</f>
        <v>0</v>
      </c>
      <c r="C1210" t="s">
        <v>1924</v>
      </c>
      <c r="D1210">
        <v>94.53</v>
      </c>
      <c r="E1210">
        <v>0.009673254485466</v>
      </c>
      <c r="F1210">
        <v>0.06666666666666643</v>
      </c>
      <c r="G1210">
        <v>0.07781806771272581</v>
      </c>
      <c r="H1210">
        <v>0.9144127465111821</v>
      </c>
      <c r="I1210">
        <v>954.216259</v>
      </c>
      <c r="J1210">
        <v>38.71845237005478</v>
      </c>
      <c r="K1210">
        <v>0.3747593223406484</v>
      </c>
      <c r="L1210">
        <v>0.8103196759662771</v>
      </c>
      <c r="M1210">
        <v>159.99</v>
      </c>
      <c r="N1210">
        <v>91.27</v>
      </c>
    </row>
    <row r="1211" spans="1:14">
      <c r="A1211" s="1" t="s">
        <v>1223</v>
      </c>
      <c r="B1211">
        <f>HYPERLINK("https://www.suredividend.com/sure-analysis-OGS/","ONE Gas Inc")</f>
        <v>0</v>
      </c>
      <c r="C1211" t="s">
        <v>1930</v>
      </c>
      <c r="D1211">
        <v>70.53</v>
      </c>
      <c r="E1211">
        <v>0.03516234226570254</v>
      </c>
      <c r="F1211">
        <v>0.06896551724137945</v>
      </c>
      <c r="G1211">
        <v>0.08100693430783124</v>
      </c>
      <c r="H1211">
        <v>2.41291501064338</v>
      </c>
      <c r="I1211">
        <v>3818.319427</v>
      </c>
      <c r="J1211">
        <v>18.03007638607012</v>
      </c>
      <c r="K1211">
        <v>0.6155395435314744</v>
      </c>
      <c r="L1211">
        <v>0.361036930858106</v>
      </c>
      <c r="M1211">
        <v>90.90000000000001</v>
      </c>
      <c r="N1211">
        <v>62.9</v>
      </c>
    </row>
    <row r="1212" spans="1:14">
      <c r="A1212" s="1" t="s">
        <v>1224</v>
      </c>
      <c r="B1212">
        <f>HYPERLINK("https://www.suredividend.com/sure-analysis-research-database/","O-I Glass Inc")</f>
        <v>0</v>
      </c>
      <c r="C1212" t="s">
        <v>1927</v>
      </c>
      <c r="D1212">
        <v>14.55</v>
      </c>
      <c r="E1212">
        <v>0</v>
      </c>
      <c r="H1212">
        <v>0</v>
      </c>
      <c r="I1212">
        <v>2265.674115</v>
      </c>
      <c r="J1212">
        <v>0</v>
      </c>
      <c r="K1212" t="s">
        <v>1921</v>
      </c>
      <c r="L1212">
        <v>1.242101059875077</v>
      </c>
      <c r="M1212">
        <v>17.94</v>
      </c>
      <c r="N1212">
        <v>10.64</v>
      </c>
    </row>
    <row r="1213" spans="1:14">
      <c r="A1213" s="1" t="s">
        <v>1225</v>
      </c>
      <c r="B1213">
        <f>HYPERLINK("https://www.suredividend.com/sure-analysis-research-database/","Oceaneering International, Inc.")</f>
        <v>0</v>
      </c>
      <c r="C1213" t="s">
        <v>1926</v>
      </c>
      <c r="D1213">
        <v>8.9</v>
      </c>
      <c r="E1213">
        <v>0</v>
      </c>
      <c r="H1213">
        <v>0</v>
      </c>
      <c r="I1213">
        <v>892.309773</v>
      </c>
      <c r="J1213" t="s">
        <v>1921</v>
      </c>
      <c r="K1213">
        <v>-0</v>
      </c>
      <c r="L1213">
        <v>0.9757767688135651</v>
      </c>
      <c r="M1213">
        <v>18.2</v>
      </c>
      <c r="N1213">
        <v>7.25</v>
      </c>
    </row>
    <row r="1214" spans="1:14">
      <c r="A1214" s="1" t="s">
        <v>1226</v>
      </c>
      <c r="B1214">
        <f>HYPERLINK("https://www.suredividend.com/sure-analysis-research-database/","Oil States International, Inc.")</f>
        <v>0</v>
      </c>
      <c r="C1214" t="s">
        <v>1926</v>
      </c>
      <c r="D1214">
        <v>4.39</v>
      </c>
      <c r="E1214">
        <v>0</v>
      </c>
      <c r="H1214">
        <v>0</v>
      </c>
      <c r="I1214">
        <v>280.516303</v>
      </c>
      <c r="J1214" t="s">
        <v>1921</v>
      </c>
      <c r="K1214">
        <v>-0</v>
      </c>
      <c r="L1214">
        <v>0.887619649287077</v>
      </c>
      <c r="M1214">
        <v>9.02</v>
      </c>
      <c r="N1214">
        <v>3.51</v>
      </c>
    </row>
    <row r="1215" spans="1:14">
      <c r="A1215" s="1" t="s">
        <v>1227</v>
      </c>
      <c r="B1215">
        <f>HYPERLINK("https://www.suredividend.com/sure-analysis-research-database/","Olema Pharmaceuticals Inc")</f>
        <v>0</v>
      </c>
      <c r="C1215" t="s">
        <v>1921</v>
      </c>
      <c r="D1215">
        <v>2.88</v>
      </c>
      <c r="E1215">
        <v>0</v>
      </c>
      <c r="H1215">
        <v>0</v>
      </c>
      <c r="I1215">
        <v>116.40833</v>
      </c>
      <c r="J1215">
        <v>0</v>
      </c>
      <c r="K1215" t="s">
        <v>1921</v>
      </c>
      <c r="L1215">
        <v>1.768167342141185</v>
      </c>
      <c r="M1215">
        <v>32.19</v>
      </c>
      <c r="N1215">
        <v>2</v>
      </c>
    </row>
    <row r="1216" spans="1:14">
      <c r="A1216" s="1" t="s">
        <v>1228</v>
      </c>
      <c r="B1216">
        <f>HYPERLINK("https://www.suredividend.com/sure-analysis-OLP/","One Liberty Properties, Inc.")</f>
        <v>0</v>
      </c>
      <c r="C1216" t="s">
        <v>1929</v>
      </c>
      <c r="D1216">
        <v>20.9</v>
      </c>
      <c r="E1216">
        <v>0.0861244019138756</v>
      </c>
      <c r="F1216">
        <v>0</v>
      </c>
      <c r="G1216">
        <v>0</v>
      </c>
      <c r="H1216">
        <v>1.75198017774107</v>
      </c>
      <c r="I1216">
        <v>440.926422</v>
      </c>
      <c r="J1216">
        <v>11.73988024388945</v>
      </c>
      <c r="K1216">
        <v>0.9521631400766686</v>
      </c>
      <c r="L1216">
        <v>0.7319771235457131</v>
      </c>
      <c r="M1216">
        <v>34.74</v>
      </c>
      <c r="N1216">
        <v>20.45</v>
      </c>
    </row>
    <row r="1217" spans="1:14">
      <c r="A1217" s="1" t="s">
        <v>1229</v>
      </c>
      <c r="B1217">
        <f>HYPERLINK("https://www.suredividend.com/sure-analysis-research-database/","Outset Medical Inc")</f>
        <v>0</v>
      </c>
      <c r="C1217" t="s">
        <v>1921</v>
      </c>
      <c r="D1217">
        <v>14.44</v>
      </c>
      <c r="E1217">
        <v>0</v>
      </c>
      <c r="H1217">
        <v>0</v>
      </c>
      <c r="I1217">
        <v>693.225426</v>
      </c>
      <c r="J1217">
        <v>0</v>
      </c>
      <c r="K1217" t="s">
        <v>1921</v>
      </c>
      <c r="L1217">
        <v>1.603400431387216</v>
      </c>
      <c r="M1217">
        <v>60.33</v>
      </c>
      <c r="N1217">
        <v>13.25</v>
      </c>
    </row>
    <row r="1218" spans="1:14">
      <c r="A1218" s="1" t="s">
        <v>1230</v>
      </c>
      <c r="B1218">
        <f>HYPERLINK("https://www.suredividend.com/sure-analysis-research-database/","Omnicell, Inc.")</f>
        <v>0</v>
      </c>
      <c r="C1218" t="s">
        <v>1922</v>
      </c>
      <c r="D1218">
        <v>78.95999999999999</v>
      </c>
      <c r="E1218">
        <v>0</v>
      </c>
      <c r="H1218">
        <v>0</v>
      </c>
      <c r="I1218">
        <v>3497.040805</v>
      </c>
      <c r="J1218">
        <v>57.72599546781115</v>
      </c>
      <c r="K1218">
        <v>0</v>
      </c>
      <c r="L1218">
        <v>0.827994637057696</v>
      </c>
      <c r="M1218">
        <v>187.29</v>
      </c>
      <c r="N1218">
        <v>78.33</v>
      </c>
    </row>
    <row r="1219" spans="1:14">
      <c r="A1219" s="1" t="s">
        <v>1231</v>
      </c>
      <c r="B1219">
        <f>HYPERLINK("https://www.suredividend.com/sure-analysis-research-database/","Omeros Corporation")</f>
        <v>0</v>
      </c>
      <c r="C1219" t="s">
        <v>1922</v>
      </c>
      <c r="D1219">
        <v>3.37</v>
      </c>
      <c r="E1219">
        <v>0</v>
      </c>
      <c r="H1219">
        <v>0</v>
      </c>
      <c r="I1219">
        <v>211.400151</v>
      </c>
      <c r="J1219" t="s">
        <v>1921</v>
      </c>
      <c r="K1219">
        <v>-0</v>
      </c>
      <c r="L1219">
        <v>1.975733983795145</v>
      </c>
      <c r="M1219">
        <v>8.6</v>
      </c>
      <c r="N1219">
        <v>1.86</v>
      </c>
    </row>
    <row r="1220" spans="1:14">
      <c r="A1220" s="1" t="s">
        <v>1232</v>
      </c>
      <c r="B1220">
        <f>HYPERLINK("https://www.suredividend.com/sure-analysis-research-database/","Omega Therapeutics Inc")</f>
        <v>0</v>
      </c>
      <c r="C1220" t="s">
        <v>1921</v>
      </c>
      <c r="D1220">
        <v>4.22</v>
      </c>
      <c r="E1220">
        <v>0</v>
      </c>
      <c r="H1220">
        <v>0</v>
      </c>
      <c r="I1220">
        <v>201.94142</v>
      </c>
      <c r="J1220">
        <v>0</v>
      </c>
      <c r="K1220" t="s">
        <v>1921</v>
      </c>
      <c r="L1220">
        <v>1.85078111532612</v>
      </c>
      <c r="M1220">
        <v>31.41</v>
      </c>
      <c r="N1220">
        <v>1.98</v>
      </c>
    </row>
    <row r="1221" spans="1:14">
      <c r="A1221" s="1" t="s">
        <v>1233</v>
      </c>
      <c r="B1221">
        <f>HYPERLINK("https://www.suredividend.com/sure-analysis-research-database/","Owens &amp; Minor, Inc.")</f>
        <v>0</v>
      </c>
      <c r="C1221" t="s">
        <v>1922</v>
      </c>
      <c r="D1221">
        <v>23.04</v>
      </c>
      <c r="E1221">
        <v>0.000108506942019</v>
      </c>
      <c r="H1221">
        <v>0.00249999994412</v>
      </c>
      <c r="I1221">
        <v>1756.744358</v>
      </c>
      <c r="J1221">
        <v>11.40839394494341</v>
      </c>
      <c r="K1221">
        <v>0.00124999997206</v>
      </c>
      <c r="L1221">
        <v>0.9896933761212771</v>
      </c>
      <c r="M1221">
        <v>49.11</v>
      </c>
      <c r="N1221">
        <v>22.49</v>
      </c>
    </row>
    <row r="1222" spans="1:14">
      <c r="A1222" s="1" t="s">
        <v>1234</v>
      </c>
      <c r="B1222">
        <f>HYPERLINK("https://www.suredividend.com/sure-analysis-research-database/","Singular Genomics Systems Inc")</f>
        <v>0</v>
      </c>
      <c r="C1222" t="s">
        <v>1921</v>
      </c>
      <c r="D1222">
        <v>2.33</v>
      </c>
      <c r="E1222">
        <v>0</v>
      </c>
      <c r="H1222">
        <v>0</v>
      </c>
      <c r="I1222">
        <v>165.88037</v>
      </c>
      <c r="J1222">
        <v>0</v>
      </c>
      <c r="K1222" t="s">
        <v>1921</v>
      </c>
      <c r="L1222">
        <v>1.799850491276115</v>
      </c>
      <c r="M1222">
        <v>17.77</v>
      </c>
      <c r="N1222">
        <v>2.26</v>
      </c>
    </row>
    <row r="1223" spans="1:14">
      <c r="A1223" s="1" t="s">
        <v>1235</v>
      </c>
      <c r="B1223">
        <f>HYPERLINK("https://www.suredividend.com/sure-analysis-research-database/","Old National Bancorp")</f>
        <v>0</v>
      </c>
      <c r="C1223" t="s">
        <v>1923</v>
      </c>
      <c r="D1223">
        <v>17.33</v>
      </c>
      <c r="E1223">
        <v>0.032050640536264</v>
      </c>
      <c r="F1223">
        <v>0</v>
      </c>
      <c r="G1223">
        <v>0.01493197894539389</v>
      </c>
      <c r="H1223">
        <v>0.555437600493471</v>
      </c>
      <c r="I1223">
        <v>5075.83569</v>
      </c>
      <c r="J1223">
        <v>24.25345436561976</v>
      </c>
      <c r="K1223">
        <v>0.5645838590094236</v>
      </c>
      <c r="L1223">
        <v>0.6697498997009851</v>
      </c>
      <c r="M1223">
        <v>20.48</v>
      </c>
      <c r="N1223">
        <v>14.1</v>
      </c>
    </row>
    <row r="1224" spans="1:14">
      <c r="A1224" s="1" t="s">
        <v>1236</v>
      </c>
      <c r="B1224">
        <f>HYPERLINK("https://www.suredividend.com/sure-analysis-research-database/","Oncorus Inc")</f>
        <v>0</v>
      </c>
      <c r="C1224" t="s">
        <v>1921</v>
      </c>
      <c r="D1224">
        <v>0.7838000000000001</v>
      </c>
      <c r="E1224">
        <v>0</v>
      </c>
      <c r="H1224">
        <v>0</v>
      </c>
      <c r="I1224">
        <v>20.287897</v>
      </c>
      <c r="J1224">
        <v>0</v>
      </c>
      <c r="K1224" t="s">
        <v>1921</v>
      </c>
      <c r="L1224">
        <v>0.7580217560269371</v>
      </c>
      <c r="M1224">
        <v>11.81</v>
      </c>
      <c r="N1224">
        <v>0.7786000000000001</v>
      </c>
    </row>
    <row r="1225" spans="1:14">
      <c r="A1225" s="1" t="s">
        <v>1237</v>
      </c>
      <c r="B1225">
        <f>HYPERLINK("https://www.suredividend.com/sure-analysis-research-database/","Oncternal Therapeutics Inc")</f>
        <v>0</v>
      </c>
      <c r="C1225" t="s">
        <v>1922</v>
      </c>
      <c r="D1225">
        <v>1.04</v>
      </c>
      <c r="E1225">
        <v>0</v>
      </c>
      <c r="H1225">
        <v>0</v>
      </c>
      <c r="I1225">
        <v>55.340385</v>
      </c>
      <c r="J1225" t="s">
        <v>1921</v>
      </c>
      <c r="K1225">
        <v>-0</v>
      </c>
      <c r="L1225">
        <v>1.884709627353311</v>
      </c>
      <c r="M1225">
        <v>4.49</v>
      </c>
      <c r="N1225">
        <v>0.6902</v>
      </c>
    </row>
    <row r="1226" spans="1:14">
      <c r="A1226" s="1" t="s">
        <v>1238</v>
      </c>
      <c r="B1226">
        <f>HYPERLINK("https://www.suredividend.com/sure-analysis-research-database/","1life Healthcare Inc")</f>
        <v>0</v>
      </c>
      <c r="C1226" t="s">
        <v>1922</v>
      </c>
      <c r="D1226">
        <v>17.14</v>
      </c>
      <c r="E1226">
        <v>0</v>
      </c>
      <c r="H1226">
        <v>0</v>
      </c>
      <c r="I1226">
        <v>3345.410859</v>
      </c>
      <c r="J1226">
        <v>0</v>
      </c>
      <c r="K1226" t="s">
        <v>1921</v>
      </c>
      <c r="L1226">
        <v>2.063493356772844</v>
      </c>
      <c r="M1226">
        <v>24.59</v>
      </c>
      <c r="N1226">
        <v>5.94</v>
      </c>
    </row>
    <row r="1227" spans="1:14">
      <c r="A1227" s="1" t="s">
        <v>1239</v>
      </c>
      <c r="B1227">
        <f>HYPERLINK("https://www.suredividend.com/sure-analysis-research-database/","Onewater Marine Inc")</f>
        <v>0</v>
      </c>
      <c r="C1227" t="s">
        <v>1927</v>
      </c>
      <c r="D1227">
        <v>29.99</v>
      </c>
      <c r="E1227">
        <v>0</v>
      </c>
      <c r="H1227">
        <v>0</v>
      </c>
      <c r="I1227">
        <v>423.852569</v>
      </c>
      <c r="J1227">
        <v>0</v>
      </c>
      <c r="K1227" t="s">
        <v>1921</v>
      </c>
      <c r="L1227">
        <v>1.150814135669017</v>
      </c>
      <c r="M1227">
        <v>62.79</v>
      </c>
      <c r="N1227">
        <v>29.41</v>
      </c>
    </row>
    <row r="1228" spans="1:14">
      <c r="A1228" s="1" t="s">
        <v>1240</v>
      </c>
      <c r="B1228">
        <f>HYPERLINK("https://www.suredividend.com/sure-analysis-research-database/","ON24 Inc")</f>
        <v>0</v>
      </c>
      <c r="C1228" t="s">
        <v>1921</v>
      </c>
      <c r="D1228">
        <v>9</v>
      </c>
      <c r="E1228">
        <v>0</v>
      </c>
      <c r="H1228">
        <v>0</v>
      </c>
      <c r="I1228">
        <v>427.355955</v>
      </c>
      <c r="J1228">
        <v>0</v>
      </c>
      <c r="K1228" t="s">
        <v>1921</v>
      </c>
      <c r="L1228">
        <v>1.094324307575603</v>
      </c>
      <c r="M1228">
        <v>20.7</v>
      </c>
      <c r="N1228">
        <v>8.32</v>
      </c>
    </row>
    <row r="1229" spans="1:14">
      <c r="A1229" s="1" t="s">
        <v>1241</v>
      </c>
      <c r="B1229">
        <f>HYPERLINK("https://www.suredividend.com/sure-analysis-research-database/","Onto Innovation Inc.")</f>
        <v>0</v>
      </c>
      <c r="C1229" t="s">
        <v>1920</v>
      </c>
      <c r="D1229">
        <v>66.23999999999999</v>
      </c>
      <c r="E1229">
        <v>0</v>
      </c>
      <c r="H1229">
        <v>0</v>
      </c>
      <c r="I1229">
        <v>3290.858643</v>
      </c>
      <c r="J1229">
        <v>0</v>
      </c>
      <c r="K1229" t="s">
        <v>1921</v>
      </c>
      <c r="L1229">
        <v>1.733900166068937</v>
      </c>
      <c r="M1229">
        <v>106.09</v>
      </c>
      <c r="N1229">
        <v>59.95</v>
      </c>
    </row>
    <row r="1230" spans="1:14">
      <c r="A1230" s="1" t="s">
        <v>1242</v>
      </c>
      <c r="B1230">
        <f>HYPERLINK("https://www.suredividend.com/sure-analysis-research-database/","Ooma Inc")</f>
        <v>0</v>
      </c>
      <c r="C1230" t="s">
        <v>1931</v>
      </c>
      <c r="D1230">
        <v>13.72</v>
      </c>
      <c r="E1230">
        <v>0</v>
      </c>
      <c r="H1230">
        <v>0</v>
      </c>
      <c r="I1230">
        <v>333.396</v>
      </c>
      <c r="J1230" t="s">
        <v>1921</v>
      </c>
      <c r="K1230">
        <v>-0</v>
      </c>
      <c r="L1230">
        <v>0.7805105322979441</v>
      </c>
      <c r="M1230">
        <v>24.28</v>
      </c>
      <c r="N1230">
        <v>10.82</v>
      </c>
    </row>
    <row r="1231" spans="1:14">
      <c r="A1231" s="1" t="s">
        <v>1243</v>
      </c>
      <c r="B1231">
        <f>HYPERLINK("https://www.suredividend.com/sure-analysis-research-database/","Option Care Health Inc.")</f>
        <v>0</v>
      </c>
      <c r="C1231" t="s">
        <v>1922</v>
      </c>
      <c r="D1231">
        <v>33.02</v>
      </c>
      <c r="E1231">
        <v>0</v>
      </c>
      <c r="H1231">
        <v>0</v>
      </c>
      <c r="I1231">
        <v>6005.06564</v>
      </c>
      <c r="J1231">
        <v>34.28586067897253</v>
      </c>
      <c r="K1231">
        <v>0</v>
      </c>
      <c r="L1231">
        <v>1.146644180731054</v>
      </c>
      <c r="M1231">
        <v>35.57</v>
      </c>
      <c r="N1231">
        <v>21.32</v>
      </c>
    </row>
    <row r="1232" spans="1:14">
      <c r="A1232" s="1" t="s">
        <v>1244</v>
      </c>
      <c r="B1232">
        <f>HYPERLINK("https://www.suredividend.com/sure-analysis-OPI/","Office Properties Income Trust")</f>
        <v>0</v>
      </c>
      <c r="C1232" t="s">
        <v>1929</v>
      </c>
      <c r="D1232">
        <v>12.4</v>
      </c>
      <c r="E1232">
        <v>0.1774193548387097</v>
      </c>
      <c r="F1232">
        <v>0</v>
      </c>
      <c r="G1232">
        <v>0.05045837224621441</v>
      </c>
      <c r="H1232">
        <v>2.120746001299047</v>
      </c>
      <c r="I1232">
        <v>600.84293</v>
      </c>
      <c r="J1232" t="s">
        <v>1921</v>
      </c>
      <c r="K1232" t="s">
        <v>1921</v>
      </c>
      <c r="L1232">
        <v>0.7834981183566581</v>
      </c>
      <c r="M1232">
        <v>26.32</v>
      </c>
      <c r="N1232">
        <v>12.21</v>
      </c>
    </row>
    <row r="1233" spans="1:14">
      <c r="A1233" s="1" t="s">
        <v>1245</v>
      </c>
      <c r="B1233">
        <f>HYPERLINK("https://www.suredividend.com/sure-analysis-research-database/","Opko Health Inc")</f>
        <v>0</v>
      </c>
      <c r="C1233" t="s">
        <v>1922</v>
      </c>
      <c r="D1233">
        <v>1.8</v>
      </c>
      <c r="E1233">
        <v>0</v>
      </c>
      <c r="H1233">
        <v>0</v>
      </c>
      <c r="I1233">
        <v>1389.527242</v>
      </c>
      <c r="J1233" t="s">
        <v>1921</v>
      </c>
      <c r="K1233">
        <v>-0</v>
      </c>
      <c r="L1233">
        <v>1.551069166648533</v>
      </c>
      <c r="M1233">
        <v>5.25</v>
      </c>
      <c r="N1233">
        <v>1.75</v>
      </c>
    </row>
    <row r="1234" spans="1:14">
      <c r="A1234" s="1" t="s">
        <v>1246</v>
      </c>
      <c r="B1234">
        <f>HYPERLINK("https://www.suredividend.com/sure-analysis-research-database/","Oportun Financial Corp")</f>
        <v>0</v>
      </c>
      <c r="C1234" t="s">
        <v>1923</v>
      </c>
      <c r="D1234">
        <v>4.46</v>
      </c>
      <c r="E1234">
        <v>0</v>
      </c>
      <c r="H1234">
        <v>0</v>
      </c>
      <c r="I1234">
        <v>146.855954</v>
      </c>
      <c r="J1234">
        <v>0</v>
      </c>
      <c r="K1234" t="s">
        <v>1921</v>
      </c>
      <c r="L1234">
        <v>1.359706250507447</v>
      </c>
      <c r="M1234">
        <v>27.95</v>
      </c>
      <c r="N1234">
        <v>4.16</v>
      </c>
    </row>
    <row r="1235" spans="1:14">
      <c r="A1235" s="1" t="s">
        <v>1247</v>
      </c>
      <c r="B1235">
        <f>HYPERLINK("https://www.suredividend.com/sure-analysis-research-database/","OptimizeRx Corp")</f>
        <v>0</v>
      </c>
      <c r="C1235" t="s">
        <v>1922</v>
      </c>
      <c r="D1235">
        <v>15.04</v>
      </c>
      <c r="E1235">
        <v>0</v>
      </c>
      <c r="H1235">
        <v>0</v>
      </c>
      <c r="I1235">
        <v>273.011329</v>
      </c>
      <c r="J1235">
        <v>0</v>
      </c>
      <c r="K1235" t="s">
        <v>1921</v>
      </c>
      <c r="L1235">
        <v>1.532950438071974</v>
      </c>
      <c r="M1235">
        <v>99.18000000000001</v>
      </c>
      <c r="N1235">
        <v>13.33</v>
      </c>
    </row>
    <row r="1236" spans="1:14">
      <c r="A1236" s="1" t="s">
        <v>1248</v>
      </c>
      <c r="B1236">
        <f>HYPERLINK("https://www.suredividend.com/sure-analysis-research-database/","Oppenheimer Holdings Inc")</f>
        <v>0</v>
      </c>
      <c r="C1236" t="s">
        <v>1923</v>
      </c>
      <c r="D1236">
        <v>28.8</v>
      </c>
      <c r="E1236">
        <v>0.020589716288156</v>
      </c>
      <c r="F1236">
        <v>-0.85</v>
      </c>
      <c r="G1236">
        <v>0.06399531281508364</v>
      </c>
      <c r="H1236">
        <v>0.592983829098892</v>
      </c>
      <c r="I1236">
        <v>324.055584</v>
      </c>
      <c r="J1236">
        <v>3.426802559086342</v>
      </c>
      <c r="K1236">
        <v>0.08281897054453799</v>
      </c>
      <c r="L1236">
        <v>0.8102859207593711</v>
      </c>
      <c r="M1236">
        <v>52.96</v>
      </c>
      <c r="N1236">
        <v>28.76</v>
      </c>
    </row>
    <row r="1237" spans="1:14">
      <c r="A1237" s="1" t="s">
        <v>1249</v>
      </c>
      <c r="B1237">
        <f>HYPERLINK("https://www.suredividend.com/sure-analysis-research-database/","Ormat Technologies Inc")</f>
        <v>0</v>
      </c>
      <c r="C1237" t="s">
        <v>1930</v>
      </c>
      <c r="D1237">
        <v>84.3</v>
      </c>
      <c r="E1237">
        <v>0.005681573932919</v>
      </c>
      <c r="F1237">
        <v>0</v>
      </c>
      <c r="G1237">
        <v>0.08447177119769855</v>
      </c>
      <c r="H1237">
        <v>0.478956682545133</v>
      </c>
      <c r="I1237">
        <v>4715.219424</v>
      </c>
      <c r="J1237">
        <v>74.25893230073862</v>
      </c>
      <c r="K1237">
        <v>0.4238554712788788</v>
      </c>
      <c r="L1237">
        <v>0.8207819409145951</v>
      </c>
      <c r="M1237">
        <v>98.47</v>
      </c>
      <c r="N1237">
        <v>60.05</v>
      </c>
    </row>
    <row r="1238" spans="1:14">
      <c r="A1238" s="1" t="s">
        <v>1250</v>
      </c>
      <c r="B1238">
        <f>HYPERLINK("https://www.suredividend.com/sure-analysis-ORC/","Orchid Island Capital Inc")</f>
        <v>0</v>
      </c>
      <c r="C1238" t="s">
        <v>1929</v>
      </c>
      <c r="D1238">
        <v>8.18</v>
      </c>
      <c r="E1238">
        <v>0.06601466992665038</v>
      </c>
      <c r="F1238">
        <v>2.555555555555556</v>
      </c>
      <c r="G1238">
        <v>0.1974057110829954</v>
      </c>
      <c r="H1238">
        <v>3.235699614100882</v>
      </c>
      <c r="I1238">
        <v>288.346947</v>
      </c>
      <c r="J1238" t="s">
        <v>1921</v>
      </c>
      <c r="K1238" t="s">
        <v>1921</v>
      </c>
      <c r="L1238">
        <v>0.825113116981496</v>
      </c>
      <c r="M1238">
        <v>20.51</v>
      </c>
      <c r="N1238">
        <v>7.95</v>
      </c>
    </row>
    <row r="1239" spans="1:14">
      <c r="A1239" s="1" t="s">
        <v>1251</v>
      </c>
      <c r="B1239">
        <f>HYPERLINK("https://www.suredividend.com/sure-analysis-research-database/","Organogenesis Holdings Inc")</f>
        <v>0</v>
      </c>
      <c r="C1239" t="s">
        <v>1922</v>
      </c>
      <c r="D1239">
        <v>3.22</v>
      </c>
      <c r="E1239">
        <v>0</v>
      </c>
      <c r="H1239">
        <v>0</v>
      </c>
      <c r="I1239">
        <v>421.458771</v>
      </c>
      <c r="J1239">
        <v>0</v>
      </c>
      <c r="K1239" t="s">
        <v>1921</v>
      </c>
      <c r="L1239">
        <v>1.423285794069443</v>
      </c>
      <c r="M1239">
        <v>12.3</v>
      </c>
      <c r="N1239">
        <v>3.08</v>
      </c>
    </row>
    <row r="1240" spans="1:14">
      <c r="A1240" s="1" t="s">
        <v>1252</v>
      </c>
      <c r="B1240">
        <f>HYPERLINK("https://www.suredividend.com/sure-analysis-research-database/","ORIC Pharmaceuticals Inc")</f>
        <v>0</v>
      </c>
      <c r="C1240" t="s">
        <v>1921</v>
      </c>
      <c r="D1240">
        <v>2.79</v>
      </c>
      <c r="E1240">
        <v>0</v>
      </c>
      <c r="H1240">
        <v>0</v>
      </c>
      <c r="I1240">
        <v>110.418873</v>
      </c>
      <c r="J1240">
        <v>0</v>
      </c>
      <c r="K1240" t="s">
        <v>1921</v>
      </c>
      <c r="L1240">
        <v>1.00825967069912</v>
      </c>
      <c r="M1240">
        <v>18.58</v>
      </c>
      <c r="N1240">
        <v>2.62</v>
      </c>
    </row>
    <row r="1241" spans="1:14">
      <c r="A1241" s="1" t="s">
        <v>1253</v>
      </c>
      <c r="B1241">
        <f>HYPERLINK("https://www.suredividend.com/sure-analysis-research-database/","Oramed Pharmaceuticals, Inc")</f>
        <v>0</v>
      </c>
      <c r="C1241" t="s">
        <v>1922</v>
      </c>
      <c r="D1241">
        <v>5.88</v>
      </c>
      <c r="E1241">
        <v>0</v>
      </c>
      <c r="H1241">
        <v>0</v>
      </c>
      <c r="I1241">
        <v>228.303236</v>
      </c>
      <c r="J1241">
        <v>0</v>
      </c>
      <c r="K1241" t="s">
        <v>1921</v>
      </c>
      <c r="L1241">
        <v>1.910018094593908</v>
      </c>
      <c r="M1241">
        <v>31.54</v>
      </c>
      <c r="N1241">
        <v>3.59</v>
      </c>
    </row>
    <row r="1242" spans="1:14">
      <c r="A1242" s="1" t="s">
        <v>1254</v>
      </c>
      <c r="B1242">
        <f>HYPERLINK("https://www.suredividend.com/sure-analysis-research-database/","Orrstown Financial Services, Inc.")</f>
        <v>0</v>
      </c>
      <c r="C1242" t="s">
        <v>1923</v>
      </c>
      <c r="D1242">
        <v>23.3</v>
      </c>
      <c r="E1242">
        <v>0.03224918394473</v>
      </c>
      <c r="H1242">
        <v>0.7514059859122241</v>
      </c>
      <c r="I1242">
        <v>248.743321</v>
      </c>
      <c r="J1242">
        <v>7.988673305071138</v>
      </c>
      <c r="K1242">
        <v>0.2655144826544961</v>
      </c>
      <c r="L1242">
        <v>0.39062809675435</v>
      </c>
      <c r="M1242">
        <v>27.37</v>
      </c>
      <c r="N1242">
        <v>21.48</v>
      </c>
    </row>
    <row r="1243" spans="1:14">
      <c r="A1243" s="1" t="s">
        <v>1255</v>
      </c>
      <c r="B1243">
        <f>HYPERLINK("https://www.suredividend.com/sure-analysis-research-database/","Old Second Bancorporation Inc.")</f>
        <v>0</v>
      </c>
      <c r="C1243" t="s">
        <v>1923</v>
      </c>
      <c r="D1243">
        <v>13.45</v>
      </c>
      <c r="E1243">
        <v>0.014791320666628</v>
      </c>
      <c r="F1243">
        <v>0</v>
      </c>
      <c r="G1243">
        <v>0.3797296614612149</v>
      </c>
      <c r="H1243">
        <v>0.198943262966148</v>
      </c>
      <c r="I1243">
        <v>599.3774069999999</v>
      </c>
      <c r="J1243">
        <v>25.38444042012536</v>
      </c>
      <c r="K1243">
        <v>0.3248053272916702</v>
      </c>
      <c r="L1243">
        <v>0.62835453167705</v>
      </c>
      <c r="M1243">
        <v>15.63</v>
      </c>
      <c r="N1243">
        <v>11.82</v>
      </c>
    </row>
    <row r="1244" spans="1:14">
      <c r="A1244" s="1" t="s">
        <v>1256</v>
      </c>
      <c r="B1244">
        <f>HYPERLINK("https://www.suredividend.com/sure-analysis-research-database/","OSI Systems, Inc.")</f>
        <v>0</v>
      </c>
      <c r="C1244" t="s">
        <v>1920</v>
      </c>
      <c r="D1244">
        <v>71.3</v>
      </c>
      <c r="E1244">
        <v>0</v>
      </c>
      <c r="H1244">
        <v>0</v>
      </c>
      <c r="I1244">
        <v>1205.988378</v>
      </c>
      <c r="J1244">
        <v>10.45530770544531</v>
      </c>
      <c r="K1244">
        <v>0</v>
      </c>
      <c r="L1244">
        <v>0.620934626861486</v>
      </c>
      <c r="M1244">
        <v>103.17</v>
      </c>
      <c r="N1244">
        <v>70.97</v>
      </c>
    </row>
    <row r="1245" spans="1:14">
      <c r="A1245" s="1" t="s">
        <v>1257</v>
      </c>
      <c r="B1245">
        <f>HYPERLINK("https://www.suredividend.com/sure-analysis-research-database/","OneSpan Inc")</f>
        <v>0</v>
      </c>
      <c r="C1245" t="s">
        <v>1920</v>
      </c>
      <c r="D1245">
        <v>8.359999999999999</v>
      </c>
      <c r="E1245">
        <v>0</v>
      </c>
      <c r="H1245">
        <v>0</v>
      </c>
      <c r="I1245">
        <v>331.015705</v>
      </c>
      <c r="J1245" t="s">
        <v>1921</v>
      </c>
      <c r="K1245">
        <v>-0</v>
      </c>
      <c r="L1245">
        <v>1.176750726177415</v>
      </c>
      <c r="M1245">
        <v>21.6</v>
      </c>
      <c r="N1245">
        <v>8.359999999999999</v>
      </c>
    </row>
    <row r="1246" spans="1:14">
      <c r="A1246" s="1" t="s">
        <v>1258</v>
      </c>
      <c r="B1246">
        <f>HYPERLINK("https://www.suredividend.com/sure-analysis-research-database/","Overstock.com Inc")</f>
        <v>0</v>
      </c>
      <c r="C1246" t="s">
        <v>1927</v>
      </c>
      <c r="D1246">
        <v>26.19</v>
      </c>
      <c r="E1246">
        <v>0</v>
      </c>
      <c r="H1246">
        <v>0</v>
      </c>
      <c r="I1246">
        <v>1196.770226</v>
      </c>
      <c r="J1246">
        <v>16.86209352523459</v>
      </c>
      <c r="K1246">
        <v>0</v>
      </c>
      <c r="L1246">
        <v>1.950346387179538</v>
      </c>
      <c r="M1246">
        <v>111.28</v>
      </c>
      <c r="N1246">
        <v>23.02</v>
      </c>
    </row>
    <row r="1247" spans="1:14">
      <c r="A1247" s="1" t="s">
        <v>1259</v>
      </c>
      <c r="B1247">
        <f>HYPERLINK("https://www.suredividend.com/sure-analysis-research-database/","Orasure Technologies Inc.")</f>
        <v>0</v>
      </c>
      <c r="C1247" t="s">
        <v>1922</v>
      </c>
      <c r="D1247">
        <v>3.83</v>
      </c>
      <c r="E1247">
        <v>0</v>
      </c>
      <c r="H1247">
        <v>0</v>
      </c>
      <c r="I1247">
        <v>278.130981</v>
      </c>
      <c r="J1247" t="s">
        <v>1921</v>
      </c>
      <c r="K1247">
        <v>-0</v>
      </c>
      <c r="L1247">
        <v>1.102960432919157</v>
      </c>
      <c r="M1247">
        <v>11.45</v>
      </c>
      <c r="N1247">
        <v>2.62</v>
      </c>
    </row>
    <row r="1248" spans="1:14">
      <c r="A1248" s="1" t="s">
        <v>1260</v>
      </c>
      <c r="B1248">
        <f>HYPERLINK("https://www.suredividend.com/sure-analysis-research-database/","OneSpaWorld Holdings Limited")</f>
        <v>0</v>
      </c>
      <c r="C1248" t="s">
        <v>1927</v>
      </c>
      <c r="D1248">
        <v>8.050000000000001</v>
      </c>
      <c r="E1248">
        <v>0</v>
      </c>
      <c r="H1248">
        <v>0</v>
      </c>
      <c r="I1248">
        <v>633.607748</v>
      </c>
      <c r="J1248">
        <v>0</v>
      </c>
      <c r="K1248" t="s">
        <v>1921</v>
      </c>
      <c r="L1248">
        <v>1.147829152402007</v>
      </c>
      <c r="M1248">
        <v>12.51</v>
      </c>
      <c r="N1248">
        <v>6.8</v>
      </c>
    </row>
    <row r="1249" spans="1:14">
      <c r="A1249" s="1" t="s">
        <v>1261</v>
      </c>
      <c r="B1249">
        <f>HYPERLINK("https://www.suredividend.com/sure-analysis-research-database/","Outlook Therapeutics Inc")</f>
        <v>0</v>
      </c>
      <c r="C1249" t="s">
        <v>1922</v>
      </c>
      <c r="D1249">
        <v>1.21</v>
      </c>
      <c r="E1249">
        <v>0</v>
      </c>
      <c r="H1249">
        <v>0</v>
      </c>
      <c r="I1249">
        <v>273.635007</v>
      </c>
      <c r="J1249" t="s">
        <v>1921</v>
      </c>
      <c r="K1249">
        <v>-0</v>
      </c>
      <c r="L1249">
        <v>1.159325488662111</v>
      </c>
      <c r="M1249">
        <v>2.3</v>
      </c>
      <c r="N1249">
        <v>0.6839000000000001</v>
      </c>
    </row>
    <row r="1250" spans="1:14">
      <c r="A1250" s="1" t="s">
        <v>1262</v>
      </c>
      <c r="B1250">
        <f>HYPERLINK("https://www.suredividend.com/sure-analysis-research-database/","Ontrak Inc")</f>
        <v>0</v>
      </c>
      <c r="C1250" t="s">
        <v>1921</v>
      </c>
      <c r="D1250">
        <v>0.4584</v>
      </c>
      <c r="E1250">
        <v>0</v>
      </c>
      <c r="H1250">
        <v>0</v>
      </c>
      <c r="I1250">
        <v>11.927201</v>
      </c>
      <c r="J1250">
        <v>0</v>
      </c>
      <c r="K1250" t="s">
        <v>1921</v>
      </c>
      <c r="L1250">
        <v>1.670971611909281</v>
      </c>
      <c r="M1250">
        <v>14.79</v>
      </c>
      <c r="N1250">
        <v>0.45</v>
      </c>
    </row>
    <row r="1251" spans="1:14">
      <c r="A1251" s="1" t="s">
        <v>1263</v>
      </c>
      <c r="B1251">
        <f>HYPERLINK("https://www.suredividend.com/sure-analysis-OTTR/","Otter Tail Corporation")</f>
        <v>0</v>
      </c>
      <c r="C1251" t="s">
        <v>1930</v>
      </c>
      <c r="D1251">
        <v>62.66</v>
      </c>
      <c r="E1251">
        <v>0.02633258857325247</v>
      </c>
      <c r="F1251">
        <v>0.05769230769230771</v>
      </c>
      <c r="G1251">
        <v>0.05209460817395262</v>
      </c>
      <c r="H1251">
        <v>1.613327880110633</v>
      </c>
      <c r="I1251">
        <v>2608.585865</v>
      </c>
      <c r="J1251">
        <v>9.944630096869746</v>
      </c>
      <c r="K1251">
        <v>0.2577201086438711</v>
      </c>
      <c r="L1251">
        <v>0.5250004156740581</v>
      </c>
      <c r="M1251">
        <v>82.45999999999999</v>
      </c>
      <c r="N1251">
        <v>55.38</v>
      </c>
    </row>
    <row r="1252" spans="1:14">
      <c r="A1252" s="1" t="s">
        <v>1264</v>
      </c>
      <c r="B1252">
        <f>HYPERLINK("https://www.suredividend.com/sure-analysis-research-database/","Ouster Inc")</f>
        <v>0</v>
      </c>
      <c r="C1252" t="s">
        <v>1921</v>
      </c>
      <c r="D1252">
        <v>0.8317</v>
      </c>
      <c r="E1252">
        <v>0</v>
      </c>
      <c r="H1252">
        <v>0</v>
      </c>
      <c r="I1252">
        <v>151.13627</v>
      </c>
      <c r="J1252">
        <v>0</v>
      </c>
      <c r="K1252" t="s">
        <v>1921</v>
      </c>
      <c r="L1252">
        <v>1.917621015170278</v>
      </c>
      <c r="M1252">
        <v>7.95</v>
      </c>
      <c r="N1252">
        <v>0.8312</v>
      </c>
    </row>
    <row r="1253" spans="1:14">
      <c r="A1253" s="1" t="s">
        <v>1265</v>
      </c>
      <c r="B1253">
        <f>HYPERLINK("https://www.suredividend.com/sure-analysis-research-database/","Outfront Media Inc")</f>
        <v>0</v>
      </c>
      <c r="C1253" t="s">
        <v>1929</v>
      </c>
      <c r="D1253">
        <v>15.78</v>
      </c>
      <c r="E1253">
        <v>0.062187470512595</v>
      </c>
      <c r="H1253">
        <v>0.981318284688753</v>
      </c>
      <c r="I1253">
        <v>2588.651277</v>
      </c>
      <c r="J1253">
        <v>19.86685553921719</v>
      </c>
      <c r="K1253">
        <v>1.149623107648492</v>
      </c>
      <c r="L1253">
        <v>1.320616667300969</v>
      </c>
      <c r="M1253">
        <v>28.44</v>
      </c>
      <c r="N1253">
        <v>14.97</v>
      </c>
    </row>
    <row r="1254" spans="1:14">
      <c r="A1254" s="1" t="s">
        <v>1266</v>
      </c>
      <c r="B1254">
        <f>HYPERLINK("https://www.suredividend.com/sure-analysis-research-database/","Ovintiv Inc")</f>
        <v>0</v>
      </c>
      <c r="C1254" t="s">
        <v>1926</v>
      </c>
      <c r="D1254">
        <v>53.43</v>
      </c>
      <c r="E1254">
        <v>0.015628880759866</v>
      </c>
      <c r="F1254">
        <v>0.7857142857142856</v>
      </c>
      <c r="G1254">
        <v>0.7553743576132639</v>
      </c>
      <c r="H1254">
        <v>0.83505109899965</v>
      </c>
      <c r="I1254">
        <v>13393.786397</v>
      </c>
      <c r="J1254">
        <v>5.516386489608731</v>
      </c>
      <c r="K1254">
        <v>0.09086519031552232</v>
      </c>
      <c r="L1254">
        <v>1.193698700563186</v>
      </c>
      <c r="M1254">
        <v>62.72</v>
      </c>
      <c r="N1254">
        <v>29.12</v>
      </c>
    </row>
    <row r="1255" spans="1:14">
      <c r="A1255" s="1" t="s">
        <v>1267</v>
      </c>
      <c r="B1255">
        <f>HYPERLINK("https://www.suredividend.com/sure-analysis-research-database/","Oxford Industries, Inc.")</f>
        <v>0</v>
      </c>
      <c r="C1255" t="s">
        <v>1927</v>
      </c>
      <c r="D1255">
        <v>89.14</v>
      </c>
      <c r="E1255">
        <v>0.026219037584068</v>
      </c>
      <c r="F1255">
        <v>0.3095238095238098</v>
      </c>
      <c r="G1255">
        <v>0.1529216246740956</v>
      </c>
      <c r="H1255">
        <v>2.337165010243885</v>
      </c>
      <c r="I1255">
        <v>1418.713286</v>
      </c>
      <c r="J1255">
        <v>8.576794362111805</v>
      </c>
      <c r="K1255">
        <v>0.2356013115165207</v>
      </c>
      <c r="L1255">
        <v>0.9798218126113241</v>
      </c>
      <c r="M1255">
        <v>119.5</v>
      </c>
      <c r="N1255">
        <v>75.26000000000001</v>
      </c>
    </row>
    <row r="1256" spans="1:14">
      <c r="A1256" s="1" t="s">
        <v>1268</v>
      </c>
      <c r="B1256">
        <f>HYPERLINK("https://www.suredividend.com/sure-analysis-research-database/","Oyster Point Pharma Inc")</f>
        <v>0</v>
      </c>
      <c r="C1256" t="s">
        <v>1922</v>
      </c>
      <c r="D1256">
        <v>6.93</v>
      </c>
      <c r="E1256">
        <v>0</v>
      </c>
      <c r="H1256">
        <v>0</v>
      </c>
      <c r="I1256">
        <v>185.942191</v>
      </c>
      <c r="J1256">
        <v>0</v>
      </c>
      <c r="K1256" t="s">
        <v>1921</v>
      </c>
      <c r="L1256">
        <v>1.148259361117641</v>
      </c>
      <c r="M1256">
        <v>19.98</v>
      </c>
      <c r="N1256">
        <v>3.46</v>
      </c>
    </row>
    <row r="1257" spans="1:14">
      <c r="A1257" s="1" t="s">
        <v>1269</v>
      </c>
      <c r="B1257">
        <f>HYPERLINK("https://www.suredividend.com/sure-analysis-research-database/","Pacific Biosciences of California Inc")</f>
        <v>0</v>
      </c>
      <c r="C1257" t="s">
        <v>1922</v>
      </c>
      <c r="D1257">
        <v>5.74</v>
      </c>
      <c r="E1257">
        <v>0</v>
      </c>
      <c r="H1257">
        <v>0</v>
      </c>
      <c r="I1257">
        <v>1290.586186</v>
      </c>
      <c r="J1257" t="s">
        <v>1921</v>
      </c>
      <c r="K1257">
        <v>-0</v>
      </c>
      <c r="L1257">
        <v>2.700800228150782</v>
      </c>
      <c r="M1257">
        <v>31.1</v>
      </c>
      <c r="N1257">
        <v>3.85</v>
      </c>
    </row>
    <row r="1258" spans="1:14">
      <c r="A1258" s="1" t="s">
        <v>1270</v>
      </c>
      <c r="B1258">
        <f>HYPERLINK("https://www.suredividend.com/sure-analysis-research-database/","Ranpak Holdings Corp")</f>
        <v>0</v>
      </c>
      <c r="C1258" t="s">
        <v>1927</v>
      </c>
      <c r="D1258">
        <v>3.13</v>
      </c>
      <c r="E1258">
        <v>0</v>
      </c>
      <c r="H1258">
        <v>0</v>
      </c>
      <c r="I1258">
        <v>247.434597</v>
      </c>
      <c r="J1258">
        <v>0</v>
      </c>
      <c r="K1258" t="s">
        <v>1921</v>
      </c>
      <c r="L1258">
        <v>1.828473996263684</v>
      </c>
      <c r="M1258">
        <v>42.97</v>
      </c>
      <c r="N1258">
        <v>3.03</v>
      </c>
    </row>
    <row r="1259" spans="1:14">
      <c r="A1259" s="1" t="s">
        <v>1271</v>
      </c>
      <c r="B1259">
        <f>HYPERLINK("https://www.suredividend.com/sure-analysis-research-database/","Phibro Animal Health Corp.")</f>
        <v>0</v>
      </c>
      <c r="C1259" t="s">
        <v>1922</v>
      </c>
      <c r="D1259">
        <v>13.2</v>
      </c>
      <c r="E1259">
        <v>0.036312408008328</v>
      </c>
      <c r="F1259">
        <v>0</v>
      </c>
      <c r="G1259">
        <v>0.03713728933664817</v>
      </c>
      <c r="H1259">
        <v>0.4793237857099371</v>
      </c>
      <c r="I1259">
        <v>268.455977</v>
      </c>
      <c r="J1259">
        <v>5.45919627452974</v>
      </c>
      <c r="K1259">
        <v>0.3961353600908571</v>
      </c>
      <c r="L1259">
        <v>0.683454921937875</v>
      </c>
      <c r="M1259">
        <v>22.71</v>
      </c>
      <c r="N1259">
        <v>12.65</v>
      </c>
    </row>
    <row r="1260" spans="1:14">
      <c r="A1260" s="1" t="s">
        <v>1272</v>
      </c>
      <c r="B1260">
        <f>HYPERLINK("https://www.suredividend.com/sure-analysis-research-database/","Par Technology Corp.")</f>
        <v>0</v>
      </c>
      <c r="C1260" t="s">
        <v>1920</v>
      </c>
      <c r="D1260">
        <v>29</v>
      </c>
      <c r="E1260">
        <v>0</v>
      </c>
      <c r="H1260">
        <v>0</v>
      </c>
      <c r="I1260">
        <v>790.933994</v>
      </c>
      <c r="J1260" t="s">
        <v>1921</v>
      </c>
      <c r="K1260">
        <v>-0</v>
      </c>
      <c r="L1260">
        <v>1.527816097622038</v>
      </c>
      <c r="M1260">
        <v>73.45</v>
      </c>
      <c r="N1260">
        <v>28.87</v>
      </c>
    </row>
    <row r="1261" spans="1:14">
      <c r="A1261" s="1" t="s">
        <v>1273</v>
      </c>
      <c r="B1261">
        <f>HYPERLINK("https://www.suredividend.com/sure-analysis-research-database/","Par Pacific Holdings Inc")</f>
        <v>0</v>
      </c>
      <c r="C1261" t="s">
        <v>1926</v>
      </c>
      <c r="D1261">
        <v>18.18</v>
      </c>
      <c r="E1261">
        <v>0</v>
      </c>
      <c r="H1261">
        <v>0</v>
      </c>
      <c r="I1261">
        <v>1094.049639</v>
      </c>
      <c r="J1261">
        <v>0</v>
      </c>
      <c r="K1261" t="s">
        <v>1921</v>
      </c>
      <c r="L1261">
        <v>1.088663275124579</v>
      </c>
      <c r="M1261">
        <v>21.1</v>
      </c>
      <c r="N1261">
        <v>11.66</v>
      </c>
    </row>
    <row r="1262" spans="1:14">
      <c r="A1262" s="1" t="s">
        <v>1274</v>
      </c>
      <c r="B1262">
        <f>HYPERLINK("https://www.suredividend.com/sure-analysis-research-database/","Passage Bio Inc")</f>
        <v>0</v>
      </c>
      <c r="C1262" t="s">
        <v>1922</v>
      </c>
      <c r="D1262">
        <v>1.32</v>
      </c>
      <c r="E1262">
        <v>0</v>
      </c>
      <c r="H1262">
        <v>0</v>
      </c>
      <c r="I1262">
        <v>71.89147</v>
      </c>
      <c r="J1262">
        <v>0</v>
      </c>
      <c r="K1262" t="s">
        <v>1921</v>
      </c>
      <c r="L1262">
        <v>1.661303419580313</v>
      </c>
      <c r="M1262">
        <v>10.37</v>
      </c>
      <c r="N1262">
        <v>1.2</v>
      </c>
    </row>
    <row r="1263" spans="1:14">
      <c r="A1263" s="1" t="s">
        <v>1275</v>
      </c>
      <c r="B1263">
        <f>HYPERLINK("https://www.suredividend.com/sure-analysis-research-database/","Patrick Industries, Inc.")</f>
        <v>0</v>
      </c>
      <c r="C1263" t="s">
        <v>1924</v>
      </c>
      <c r="D1263">
        <v>45.09</v>
      </c>
      <c r="E1263">
        <v>0.029038985329018</v>
      </c>
      <c r="H1263">
        <v>1.309367848485436</v>
      </c>
      <c r="I1263">
        <v>1030.949664</v>
      </c>
      <c r="J1263">
        <v>2.965788672953333</v>
      </c>
      <c r="K1263">
        <v>0.09042595638711574</v>
      </c>
      <c r="L1263">
        <v>1.171037556214532</v>
      </c>
      <c r="M1263">
        <v>86.36</v>
      </c>
      <c r="N1263">
        <v>42.31</v>
      </c>
    </row>
    <row r="1264" spans="1:14">
      <c r="A1264" s="1" t="s">
        <v>1276</v>
      </c>
      <c r="B1264">
        <f>HYPERLINK("https://www.suredividend.com/sure-analysis-research-database/","PAVmed Inc")</f>
        <v>0</v>
      </c>
      <c r="C1264" t="s">
        <v>1922</v>
      </c>
      <c r="D1264">
        <v>1</v>
      </c>
      <c r="E1264">
        <v>0</v>
      </c>
      <c r="H1264">
        <v>0</v>
      </c>
      <c r="I1264">
        <v>90.999078</v>
      </c>
      <c r="J1264">
        <v>0</v>
      </c>
      <c r="K1264" t="s">
        <v>1921</v>
      </c>
      <c r="L1264">
        <v>1.494896618989584</v>
      </c>
      <c r="M1264">
        <v>8.1</v>
      </c>
      <c r="N1264">
        <v>0.8200000000000001</v>
      </c>
    </row>
    <row r="1265" spans="1:14">
      <c r="A1265" s="1" t="s">
        <v>1277</v>
      </c>
      <c r="B1265">
        <f>HYPERLINK("https://www.suredividend.com/sure-analysis-research-database/","Paya Holdings Inc")</f>
        <v>0</v>
      </c>
      <c r="C1265" t="s">
        <v>1921</v>
      </c>
      <c r="D1265">
        <v>5.84</v>
      </c>
      <c r="E1265">
        <v>0</v>
      </c>
      <c r="H1265">
        <v>0</v>
      </c>
      <c r="I1265">
        <v>771.3250430000001</v>
      </c>
      <c r="J1265">
        <v>0</v>
      </c>
      <c r="K1265" t="s">
        <v>1921</v>
      </c>
      <c r="L1265">
        <v>1.643050800404959</v>
      </c>
      <c r="M1265">
        <v>10.52</v>
      </c>
      <c r="N1265">
        <v>4.51</v>
      </c>
    </row>
    <row r="1266" spans="1:14">
      <c r="A1266" s="1" t="s">
        <v>1278</v>
      </c>
      <c r="B1266">
        <f>HYPERLINK("https://www.suredividend.com/sure-analysis-research-database/","PBF Energy Inc")</f>
        <v>0</v>
      </c>
      <c r="C1266" t="s">
        <v>1926</v>
      </c>
      <c r="D1266">
        <v>38.24</v>
      </c>
      <c r="E1266">
        <v>0</v>
      </c>
      <c r="H1266">
        <v>0</v>
      </c>
      <c r="I1266">
        <v>4662.389094</v>
      </c>
      <c r="J1266">
        <v>3.313709377569296</v>
      </c>
      <c r="K1266">
        <v>0</v>
      </c>
      <c r="L1266">
        <v>0.8834702559527781</v>
      </c>
      <c r="M1266">
        <v>44.12</v>
      </c>
      <c r="N1266">
        <v>10.58</v>
      </c>
    </row>
    <row r="1267" spans="1:14">
      <c r="A1267" s="1" t="s">
        <v>1279</v>
      </c>
      <c r="B1267">
        <f>HYPERLINK("https://www.suredividend.com/sure-analysis-research-database/","Pioneer Bancorp Inc")</f>
        <v>0</v>
      </c>
      <c r="C1267" t="s">
        <v>1923</v>
      </c>
      <c r="D1267">
        <v>10.07</v>
      </c>
      <c r="E1267">
        <v>0</v>
      </c>
      <c r="H1267">
        <v>0</v>
      </c>
      <c r="I1267">
        <v>261.595228</v>
      </c>
      <c r="J1267">
        <v>0</v>
      </c>
      <c r="K1267" t="s">
        <v>1921</v>
      </c>
      <c r="L1267">
        <v>0.2815548671525</v>
      </c>
      <c r="M1267">
        <v>13</v>
      </c>
      <c r="N1267">
        <v>9.130000000000001</v>
      </c>
    </row>
    <row r="1268" spans="1:14">
      <c r="A1268" s="1" t="s">
        <v>1280</v>
      </c>
      <c r="B1268">
        <f>HYPERLINK("https://www.suredividend.com/sure-analysis-research-database/","Prestige Consumer Healthcare Inc")</f>
        <v>0</v>
      </c>
      <c r="C1268" t="s">
        <v>1922</v>
      </c>
      <c r="D1268">
        <v>50.14</v>
      </c>
      <c r="E1268">
        <v>0</v>
      </c>
      <c r="H1268">
        <v>0</v>
      </c>
      <c r="I1268">
        <v>2495.098419</v>
      </c>
      <c r="J1268">
        <v>12.29730415588128</v>
      </c>
      <c r="K1268">
        <v>0</v>
      </c>
      <c r="L1268">
        <v>0.4193792491689131</v>
      </c>
      <c r="M1268">
        <v>63.83</v>
      </c>
      <c r="N1268">
        <v>48.51</v>
      </c>
    </row>
    <row r="1269" spans="1:14">
      <c r="A1269" s="1" t="s">
        <v>1281</v>
      </c>
      <c r="B1269">
        <f>HYPERLINK("https://www.suredividend.com/sure-analysis-research-database/","Pitney Bowes, Inc.")</f>
        <v>0</v>
      </c>
      <c r="C1269" t="s">
        <v>1924</v>
      </c>
      <c r="D1269">
        <v>2.65</v>
      </c>
      <c r="E1269">
        <v>0.07407575489614901</v>
      </c>
      <c r="F1269">
        <v>0</v>
      </c>
      <c r="G1269">
        <v>-0.2322961007252451</v>
      </c>
      <c r="H1269">
        <v>0.196300750474797</v>
      </c>
      <c r="I1269">
        <v>460.773878</v>
      </c>
      <c r="J1269">
        <v>12.98283727564735</v>
      </c>
      <c r="K1269">
        <v>0.9949353800040396</v>
      </c>
      <c r="L1269">
        <v>1.302089924955396</v>
      </c>
      <c r="M1269">
        <v>7.88</v>
      </c>
      <c r="N1269">
        <v>2.3</v>
      </c>
    </row>
    <row r="1270" spans="1:14">
      <c r="A1270" s="1" t="s">
        <v>1282</v>
      </c>
      <c r="B1270">
        <f>HYPERLINK("https://www.suredividend.com/sure-analysis-research-database/","Puma Biotechnology Inc")</f>
        <v>0</v>
      </c>
      <c r="C1270" t="s">
        <v>1922</v>
      </c>
      <c r="D1270">
        <v>2.42</v>
      </c>
      <c r="E1270">
        <v>0</v>
      </c>
      <c r="H1270">
        <v>0</v>
      </c>
      <c r="I1270">
        <v>110.24543</v>
      </c>
      <c r="J1270" t="s">
        <v>1921</v>
      </c>
      <c r="K1270">
        <v>-0</v>
      </c>
      <c r="L1270">
        <v>1.145793238910044</v>
      </c>
      <c r="M1270">
        <v>6.76</v>
      </c>
      <c r="N1270">
        <v>1.6</v>
      </c>
    </row>
    <row r="1271" spans="1:14">
      <c r="A1271" s="1" t="s">
        <v>1283</v>
      </c>
      <c r="B1271">
        <f>HYPERLINK("https://www.suredividend.com/sure-analysis-research-database/","PotlatchDeltic Corp")</f>
        <v>0</v>
      </c>
      <c r="C1271" t="s">
        <v>1929</v>
      </c>
      <c r="D1271">
        <v>42.82</v>
      </c>
      <c r="E1271">
        <v>0.039860208437637</v>
      </c>
      <c r="F1271">
        <v>0</v>
      </c>
      <c r="G1271">
        <v>0.01924487649145656</v>
      </c>
      <c r="H1271">
        <v>1.706814125299655</v>
      </c>
      <c r="I1271">
        <v>2966.219418</v>
      </c>
      <c r="J1271">
        <v>7.626203347053999</v>
      </c>
      <c r="K1271">
        <v>0.3015572659540027</v>
      </c>
      <c r="L1271">
        <v>0.868000576538516</v>
      </c>
      <c r="M1271">
        <v>59.1</v>
      </c>
      <c r="N1271">
        <v>39.1</v>
      </c>
    </row>
    <row r="1272" spans="1:14">
      <c r="A1272" s="1" t="s">
        <v>1284</v>
      </c>
      <c r="B1272">
        <f>HYPERLINK("https://www.suredividend.com/sure-analysis-research-database/","Pacira BioSciences Inc")</f>
        <v>0</v>
      </c>
      <c r="C1272" t="s">
        <v>1922</v>
      </c>
      <c r="D1272">
        <v>56.45</v>
      </c>
      <c r="E1272">
        <v>0</v>
      </c>
      <c r="H1272">
        <v>0</v>
      </c>
      <c r="I1272">
        <v>2564.90465</v>
      </c>
      <c r="J1272">
        <v>65.37453867563848</v>
      </c>
      <c r="K1272">
        <v>0</v>
      </c>
      <c r="L1272">
        <v>0.7694177362422751</v>
      </c>
      <c r="M1272">
        <v>82.16</v>
      </c>
      <c r="N1272">
        <v>49.62</v>
      </c>
    </row>
    <row r="1273" spans="1:14">
      <c r="A1273" s="1" t="s">
        <v>1285</v>
      </c>
      <c r="B1273">
        <f>HYPERLINK("https://www.suredividend.com/sure-analysis-research-database/","PCSB Financial Corp")</f>
        <v>0</v>
      </c>
      <c r="C1273" t="s">
        <v>1923</v>
      </c>
      <c r="D1273">
        <v>18.2</v>
      </c>
      <c r="E1273">
        <v>0.014212107134107</v>
      </c>
      <c r="H1273">
        <v>0.25866034984075</v>
      </c>
      <c r="I1273">
        <v>279.091667</v>
      </c>
      <c r="J1273">
        <v>0</v>
      </c>
      <c r="K1273" t="s">
        <v>1921</v>
      </c>
      <c r="L1273">
        <v>0.269384447496268</v>
      </c>
      <c r="M1273">
        <v>19.88</v>
      </c>
      <c r="N1273">
        <v>17.41</v>
      </c>
    </row>
    <row r="1274" spans="1:14">
      <c r="A1274" s="1" t="s">
        <v>1286</v>
      </c>
      <c r="B1274">
        <f>HYPERLINK("https://www.suredividend.com/sure-analysis-research-database/","PureCycle Technologies Inc")</f>
        <v>0</v>
      </c>
      <c r="C1274" t="s">
        <v>1921</v>
      </c>
      <c r="D1274">
        <v>8.24</v>
      </c>
      <c r="E1274">
        <v>0</v>
      </c>
      <c r="H1274">
        <v>0</v>
      </c>
      <c r="I1274">
        <v>1347.322161</v>
      </c>
      <c r="J1274">
        <v>0</v>
      </c>
      <c r="K1274" t="s">
        <v>1921</v>
      </c>
      <c r="L1274">
        <v>1.529552682702613</v>
      </c>
      <c r="M1274">
        <v>14.99</v>
      </c>
      <c r="N1274">
        <v>4.94</v>
      </c>
    </row>
    <row r="1275" spans="1:14">
      <c r="A1275" s="1" t="s">
        <v>1287</v>
      </c>
      <c r="B1275">
        <f>HYPERLINK("https://www.suredividend.com/sure-analysis-research-database/","Vaxcyte Inc")</f>
        <v>0</v>
      </c>
      <c r="C1275" t="s">
        <v>1921</v>
      </c>
      <c r="D1275">
        <v>23.87</v>
      </c>
      <c r="E1275">
        <v>0</v>
      </c>
      <c r="H1275">
        <v>0</v>
      </c>
      <c r="I1275">
        <v>1415.852249</v>
      </c>
      <c r="J1275">
        <v>0</v>
      </c>
      <c r="K1275" t="s">
        <v>1921</v>
      </c>
      <c r="L1275">
        <v>0.881523996933641</v>
      </c>
      <c r="M1275">
        <v>29.73</v>
      </c>
      <c r="N1275">
        <v>16.78</v>
      </c>
    </row>
    <row r="1276" spans="1:14">
      <c r="A1276" s="1" t="s">
        <v>1288</v>
      </c>
      <c r="B1276">
        <f>HYPERLINK("https://www.suredividend.com/sure-analysis-research-database/","Pure Cycle Corp.")</f>
        <v>0</v>
      </c>
      <c r="C1276" t="s">
        <v>1930</v>
      </c>
      <c r="D1276">
        <v>8.26</v>
      </c>
      <c r="E1276">
        <v>0</v>
      </c>
      <c r="H1276">
        <v>0</v>
      </c>
      <c r="I1276">
        <v>198.080128</v>
      </c>
      <c r="J1276">
        <v>0</v>
      </c>
      <c r="K1276" t="s">
        <v>1921</v>
      </c>
      <c r="L1276">
        <v>0.689383941317763</v>
      </c>
      <c r="M1276">
        <v>16.4</v>
      </c>
      <c r="N1276">
        <v>7.81</v>
      </c>
    </row>
    <row r="1277" spans="1:14">
      <c r="A1277" s="1" t="s">
        <v>1289</v>
      </c>
      <c r="B1277">
        <f>HYPERLINK("https://www.suredividend.com/sure-analysis-research-database/","Pagerduty Inc")</f>
        <v>0</v>
      </c>
      <c r="C1277" t="s">
        <v>1920</v>
      </c>
      <c r="D1277">
        <v>21.9</v>
      </c>
      <c r="E1277">
        <v>0</v>
      </c>
      <c r="H1277">
        <v>0</v>
      </c>
      <c r="I1277">
        <v>1952.556718</v>
      </c>
      <c r="J1277" t="s">
        <v>1921</v>
      </c>
      <c r="K1277">
        <v>-0</v>
      </c>
      <c r="L1277">
        <v>1.985787679047012</v>
      </c>
      <c r="M1277">
        <v>44.93</v>
      </c>
      <c r="N1277">
        <v>21.56</v>
      </c>
    </row>
    <row r="1278" spans="1:14">
      <c r="A1278" s="1" t="s">
        <v>1290</v>
      </c>
      <c r="B1278">
        <f>HYPERLINK("https://www.suredividend.com/sure-analysis-research-database/","PDC Energy Inc")</f>
        <v>0</v>
      </c>
      <c r="C1278" t="s">
        <v>1926</v>
      </c>
      <c r="D1278">
        <v>66.61</v>
      </c>
      <c r="E1278">
        <v>0.015976514578213</v>
      </c>
      <c r="H1278">
        <v>1.064195636054804</v>
      </c>
      <c r="I1278">
        <v>6415.016464</v>
      </c>
      <c r="J1278">
        <v>5.136924070515413</v>
      </c>
      <c r="K1278">
        <v>0.0843929925499448</v>
      </c>
      <c r="L1278">
        <v>1.053772534347994</v>
      </c>
      <c r="M1278">
        <v>88.73999999999999</v>
      </c>
      <c r="N1278">
        <v>43.43</v>
      </c>
    </row>
    <row r="1279" spans="1:14">
      <c r="A1279" s="1" t="s">
        <v>1291</v>
      </c>
      <c r="B1279">
        <f>HYPERLINK("https://www.suredividend.com/sure-analysis-PDCO/","Patterson Companies Inc.")</f>
        <v>0</v>
      </c>
      <c r="C1279" t="s">
        <v>1922</v>
      </c>
      <c r="D1279">
        <v>25.3</v>
      </c>
      <c r="E1279">
        <v>0.04110671936758893</v>
      </c>
      <c r="F1279">
        <v>0</v>
      </c>
      <c r="G1279">
        <v>0</v>
      </c>
      <c r="H1279">
        <v>1.027135787820159</v>
      </c>
      <c r="I1279">
        <v>2451.5447</v>
      </c>
      <c r="J1279">
        <v>12.64960836721636</v>
      </c>
      <c r="K1279">
        <v>0.5213887247818066</v>
      </c>
      <c r="L1279">
        <v>0.695154099071793</v>
      </c>
      <c r="M1279">
        <v>34.73</v>
      </c>
      <c r="N1279">
        <v>23.87</v>
      </c>
    </row>
    <row r="1280" spans="1:14">
      <c r="A1280" s="1" t="s">
        <v>1292</v>
      </c>
      <c r="B1280">
        <f>HYPERLINK("https://www.suredividend.com/sure-analysis-research-database/","PDF Solutions Inc.")</f>
        <v>0</v>
      </c>
      <c r="C1280" t="s">
        <v>1920</v>
      </c>
      <c r="D1280">
        <v>24.07</v>
      </c>
      <c r="E1280">
        <v>0</v>
      </c>
      <c r="H1280">
        <v>0</v>
      </c>
      <c r="I1280">
        <v>897.254333</v>
      </c>
      <c r="J1280" t="s">
        <v>1921</v>
      </c>
      <c r="K1280">
        <v>-0</v>
      </c>
      <c r="L1280">
        <v>1.265553058498006</v>
      </c>
      <c r="M1280">
        <v>33.78</v>
      </c>
      <c r="N1280">
        <v>19.34</v>
      </c>
    </row>
    <row r="1281" spans="1:14">
      <c r="A1281" s="1" t="s">
        <v>1293</v>
      </c>
      <c r="B1281">
        <f>HYPERLINK("https://www.suredividend.com/sure-analysis-research-database/","PDL Biopharma Inc")</f>
        <v>0</v>
      </c>
      <c r="C1281" t="s">
        <v>1922</v>
      </c>
      <c r="D1281">
        <v>2.47</v>
      </c>
      <c r="E1281">
        <v>0</v>
      </c>
      <c r="H1281">
        <v>0.07587900012731501</v>
      </c>
      <c r="I1281">
        <v>0</v>
      </c>
      <c r="J1281">
        <v>0</v>
      </c>
      <c r="K1281" t="s">
        <v>1921</v>
      </c>
    </row>
    <row r="1282" spans="1:14">
      <c r="A1282" s="1" t="s">
        <v>1294</v>
      </c>
      <c r="B1282">
        <f>HYPERLINK("https://www.suredividend.com/sure-analysis-PDM/","Piedmont Office Realty Trust Inc")</f>
        <v>0</v>
      </c>
      <c r="C1282" t="s">
        <v>1929</v>
      </c>
      <c r="D1282">
        <v>9.6</v>
      </c>
      <c r="E1282">
        <v>0.08749999999999999</v>
      </c>
      <c r="F1282">
        <v>0</v>
      </c>
      <c r="G1282">
        <v>-0.1592829442939329</v>
      </c>
      <c r="H1282">
        <v>0.8208217725765871</v>
      </c>
      <c r="I1282">
        <v>1184.595658</v>
      </c>
      <c r="J1282">
        <v>24.94620851619424</v>
      </c>
      <c r="K1282">
        <v>2.13477704181167</v>
      </c>
      <c r="L1282">
        <v>0.7698722102055231</v>
      </c>
      <c r="M1282">
        <v>18.98</v>
      </c>
      <c r="N1282">
        <v>9.539999999999999</v>
      </c>
    </row>
    <row r="1283" spans="1:14">
      <c r="A1283" s="1" t="s">
        <v>1295</v>
      </c>
      <c r="B1283">
        <f>HYPERLINK("https://www.suredividend.com/sure-analysis-research-database/","Pebblebrook Hotel Trust")</f>
        <v>0</v>
      </c>
      <c r="C1283" t="s">
        <v>1929</v>
      </c>
      <c r="D1283">
        <v>14.39</v>
      </c>
      <c r="E1283">
        <v>0.002777268060109</v>
      </c>
      <c r="F1283">
        <v>0</v>
      </c>
      <c r="G1283">
        <v>-0.5168930551573858</v>
      </c>
      <c r="H1283">
        <v>0.03996488738497701</v>
      </c>
      <c r="I1283">
        <v>1891.594899</v>
      </c>
      <c r="J1283" t="s">
        <v>1921</v>
      </c>
      <c r="K1283" t="s">
        <v>1921</v>
      </c>
      <c r="L1283">
        <v>1.298818703049701</v>
      </c>
      <c r="M1283">
        <v>26.4</v>
      </c>
      <c r="N1283">
        <v>14.24</v>
      </c>
    </row>
    <row r="1284" spans="1:14">
      <c r="A1284" s="1" t="s">
        <v>1296</v>
      </c>
      <c r="B1284">
        <f>HYPERLINK("https://www.suredividend.com/sure-analysis-research-database/","Peoples Bancorp, Inc. (Marietta, OH)")</f>
        <v>0</v>
      </c>
      <c r="C1284" t="s">
        <v>1923</v>
      </c>
      <c r="D1284">
        <v>29.32</v>
      </c>
      <c r="E1284">
        <v>0.049543106346415</v>
      </c>
      <c r="H1284">
        <v>1.452603878076895</v>
      </c>
      <c r="I1284">
        <v>829.678537</v>
      </c>
      <c r="J1284">
        <v>11.83007338285828</v>
      </c>
      <c r="K1284">
        <v>0.5440463962834813</v>
      </c>
      <c r="L1284">
        <v>0.5420258283263211</v>
      </c>
      <c r="M1284">
        <v>33.36</v>
      </c>
      <c r="N1284">
        <v>25.31</v>
      </c>
    </row>
    <row r="1285" spans="1:14">
      <c r="A1285" s="1" t="s">
        <v>1297</v>
      </c>
      <c r="B1285">
        <f>HYPERLINK("https://www.suredividend.com/sure-analysis-PECO/","Phillips Edison &amp; Company Inc")</f>
        <v>0</v>
      </c>
      <c r="C1285" t="s">
        <v>1921</v>
      </c>
      <c r="D1285">
        <v>28.69</v>
      </c>
      <c r="E1285">
        <v>0.03903799233182294</v>
      </c>
      <c r="H1285">
        <v>1.067828728908802</v>
      </c>
      <c r="I1285">
        <v>3348.123</v>
      </c>
      <c r="J1285">
        <v>0</v>
      </c>
      <c r="K1285" t="s">
        <v>1921</v>
      </c>
      <c r="L1285">
        <v>0.6531633573715481</v>
      </c>
      <c r="M1285">
        <v>35.81</v>
      </c>
      <c r="N1285">
        <v>27.07</v>
      </c>
    </row>
    <row r="1286" spans="1:14">
      <c r="A1286" s="1" t="s">
        <v>1298</v>
      </c>
      <c r="B1286">
        <f>HYPERLINK("https://www.suredividend.com/sure-analysis-research-database/","PetIQ Inc")</f>
        <v>0</v>
      </c>
      <c r="C1286" t="s">
        <v>1922</v>
      </c>
      <c r="D1286">
        <v>6.82</v>
      </c>
      <c r="E1286">
        <v>0</v>
      </c>
      <c r="H1286">
        <v>0</v>
      </c>
      <c r="I1286">
        <v>199.91305</v>
      </c>
      <c r="J1286" t="s">
        <v>1921</v>
      </c>
      <c r="K1286">
        <v>-0</v>
      </c>
      <c r="L1286">
        <v>1.351860742816168</v>
      </c>
      <c r="M1286">
        <v>27.09</v>
      </c>
      <c r="N1286">
        <v>6.76</v>
      </c>
    </row>
    <row r="1287" spans="1:14">
      <c r="A1287" s="1" t="s">
        <v>1299</v>
      </c>
      <c r="B1287">
        <f>HYPERLINK("https://www.suredividend.com/sure-analysis-PETS/","Petmed Express, Inc.")</f>
        <v>0</v>
      </c>
      <c r="C1287" t="s">
        <v>1922</v>
      </c>
      <c r="D1287">
        <v>19.78</v>
      </c>
      <c r="E1287">
        <v>0.06066734074823053</v>
      </c>
      <c r="F1287">
        <v>0</v>
      </c>
      <c r="G1287">
        <v>0.08447177119769855</v>
      </c>
      <c r="H1287">
        <v>1.175408687365836</v>
      </c>
      <c r="I1287">
        <v>415.157218</v>
      </c>
      <c r="J1287">
        <v>21.34813687766751</v>
      </c>
      <c r="K1287">
        <v>1.231826333437263</v>
      </c>
      <c r="L1287">
        <v>0.6576438622941061</v>
      </c>
      <c r="M1287">
        <v>31.06</v>
      </c>
      <c r="N1287">
        <v>18.83</v>
      </c>
    </row>
    <row r="1288" spans="1:14">
      <c r="A1288" s="1" t="s">
        <v>1300</v>
      </c>
      <c r="B1288">
        <f>HYPERLINK("https://www.suredividend.com/sure-analysis-research-database/","Preferred Bank (Los Angeles, CA)")</f>
        <v>0</v>
      </c>
      <c r="C1288" t="s">
        <v>1923</v>
      </c>
      <c r="D1288">
        <v>66.01000000000001</v>
      </c>
      <c r="E1288">
        <v>0.025812939425317</v>
      </c>
      <c r="F1288">
        <v>0.131578947368421</v>
      </c>
      <c r="G1288">
        <v>0.1434288742094985</v>
      </c>
      <c r="H1288">
        <v>1.703912131465209</v>
      </c>
      <c r="I1288">
        <v>870.60589</v>
      </c>
      <c r="J1288">
        <v>0</v>
      </c>
      <c r="K1288" t="s">
        <v>1921</v>
      </c>
      <c r="L1288">
        <v>0.6326151184969141</v>
      </c>
      <c r="M1288">
        <v>80.45999999999999</v>
      </c>
      <c r="N1288">
        <v>60.53</v>
      </c>
    </row>
    <row r="1289" spans="1:14">
      <c r="A1289" s="1" t="s">
        <v>1301</v>
      </c>
      <c r="B1289">
        <f>HYPERLINK("https://www.suredividend.com/sure-analysis-research-database/","Premier Financial Corp")</f>
        <v>0</v>
      </c>
      <c r="C1289" t="s">
        <v>1921</v>
      </c>
      <c r="D1289">
        <v>26.31</v>
      </c>
      <c r="E1289">
        <v>0.044149421702381</v>
      </c>
      <c r="H1289">
        <v>1.161571284989661</v>
      </c>
      <c r="I1289">
        <v>935.69205</v>
      </c>
      <c r="J1289">
        <v>9.147086337615107</v>
      </c>
      <c r="K1289">
        <v>0.4133705640532602</v>
      </c>
      <c r="L1289">
        <v>0.604456896180367</v>
      </c>
      <c r="M1289">
        <v>32.66</v>
      </c>
      <c r="N1289">
        <v>24.09</v>
      </c>
    </row>
    <row r="1290" spans="1:14">
      <c r="A1290" s="1" t="s">
        <v>1302</v>
      </c>
      <c r="B1290">
        <f>HYPERLINK("https://www.suredividend.com/sure-analysis-research-database/","Performance Food Group Company")</f>
        <v>0</v>
      </c>
      <c r="C1290" t="s">
        <v>1928</v>
      </c>
      <c r="D1290">
        <v>45.34</v>
      </c>
      <c r="E1290">
        <v>0</v>
      </c>
      <c r="H1290">
        <v>0</v>
      </c>
      <c r="I1290">
        <v>7058.216948</v>
      </c>
      <c r="J1290">
        <v>62.73970620853334</v>
      </c>
      <c r="K1290">
        <v>0</v>
      </c>
      <c r="L1290">
        <v>1.37504983478654</v>
      </c>
      <c r="M1290">
        <v>58.13</v>
      </c>
      <c r="N1290">
        <v>38.23</v>
      </c>
    </row>
    <row r="1291" spans="1:14">
      <c r="A1291" s="1" t="s">
        <v>1303</v>
      </c>
      <c r="B1291">
        <f>HYPERLINK("https://www.suredividend.com/sure-analysis-research-database/","Peoples Financial Services Corp")</f>
        <v>0</v>
      </c>
      <c r="C1291" t="s">
        <v>1923</v>
      </c>
      <c r="D1291">
        <v>48.12</v>
      </c>
      <c r="E1291">
        <v>0.032049520100056</v>
      </c>
      <c r="F1291">
        <v>0.05263157894736836</v>
      </c>
      <c r="G1291">
        <v>0.04563955259127317</v>
      </c>
      <c r="H1291">
        <v>1.542222907214701</v>
      </c>
      <c r="I1291">
        <v>345.052159</v>
      </c>
      <c r="J1291">
        <v>0</v>
      </c>
      <c r="K1291" t="s">
        <v>1921</v>
      </c>
      <c r="L1291">
        <v>0.4843599018127661</v>
      </c>
      <c r="M1291">
        <v>59.52</v>
      </c>
      <c r="N1291">
        <v>44.29</v>
      </c>
    </row>
    <row r="1292" spans="1:14">
      <c r="A1292" s="1" t="s">
        <v>1304</v>
      </c>
      <c r="B1292">
        <f>HYPERLINK("https://www.suredividend.com/sure-analysis-research-database/","Provident Financial Services Inc")</f>
        <v>0</v>
      </c>
      <c r="C1292" t="s">
        <v>1923</v>
      </c>
      <c r="D1292">
        <v>19.31</v>
      </c>
      <c r="E1292">
        <v>0.04895631762869401</v>
      </c>
      <c r="F1292">
        <v>0.04347826086956519</v>
      </c>
      <c r="G1292">
        <v>0.03713728933664817</v>
      </c>
      <c r="H1292">
        <v>0.945346493410084</v>
      </c>
      <c r="I1292">
        <v>1456.80742</v>
      </c>
      <c r="J1292">
        <v>9.234151351077248</v>
      </c>
      <c r="K1292">
        <v>0.4544935064471557</v>
      </c>
      <c r="L1292">
        <v>0.523121125077054</v>
      </c>
      <c r="M1292">
        <v>25.61</v>
      </c>
      <c r="N1292">
        <v>19.18</v>
      </c>
    </row>
    <row r="1293" spans="1:14">
      <c r="A1293" s="1" t="s">
        <v>1305</v>
      </c>
      <c r="B1293">
        <f>HYPERLINK("https://www.suredividend.com/sure-analysis-research-database/","PennyMac Financial Services Inc.")</f>
        <v>0</v>
      </c>
      <c r="C1293" t="s">
        <v>1923</v>
      </c>
      <c r="D1293">
        <v>43.7</v>
      </c>
      <c r="E1293">
        <v>0.018205145001812</v>
      </c>
      <c r="H1293">
        <v>0.7955648365792111</v>
      </c>
      <c r="I1293">
        <v>2379.316507</v>
      </c>
      <c r="J1293">
        <v>0</v>
      </c>
      <c r="K1293" t="s">
        <v>1921</v>
      </c>
      <c r="L1293">
        <v>1.005603166661529</v>
      </c>
      <c r="M1293">
        <v>70.73</v>
      </c>
      <c r="N1293">
        <v>38.4</v>
      </c>
    </row>
    <row r="1294" spans="1:14">
      <c r="A1294" s="1" t="s">
        <v>1306</v>
      </c>
      <c r="B1294">
        <f>HYPERLINK("https://www.suredividend.com/sure-analysis-research-database/","Peapack-Gladstone Financial Corp.")</f>
        <v>0</v>
      </c>
      <c r="C1294" t="s">
        <v>1923</v>
      </c>
      <c r="D1294">
        <v>34.89</v>
      </c>
      <c r="E1294">
        <v>0.005719280960566</v>
      </c>
      <c r="F1294">
        <v>0</v>
      </c>
      <c r="G1294">
        <v>0</v>
      </c>
      <c r="H1294">
        <v>0.199545712714152</v>
      </c>
      <c r="I1294">
        <v>634.649414</v>
      </c>
      <c r="J1294">
        <v>10.14351677417808</v>
      </c>
      <c r="K1294">
        <v>0.06046839779216728</v>
      </c>
      <c r="L1294">
        <v>0.647482616892283</v>
      </c>
      <c r="M1294">
        <v>38.48</v>
      </c>
      <c r="N1294">
        <v>27.67</v>
      </c>
    </row>
    <row r="1295" spans="1:14">
      <c r="A1295" s="1" t="s">
        <v>1307</v>
      </c>
      <c r="B1295">
        <f>HYPERLINK("https://www.suredividend.com/sure-analysis-research-database/","Precigen Inc")</f>
        <v>0</v>
      </c>
      <c r="C1295" t="s">
        <v>1922</v>
      </c>
      <c r="D1295">
        <v>1.8</v>
      </c>
      <c r="E1295">
        <v>0</v>
      </c>
      <c r="H1295">
        <v>0</v>
      </c>
      <c r="I1295">
        <v>374.670038</v>
      </c>
      <c r="J1295" t="s">
        <v>1921</v>
      </c>
      <c r="K1295">
        <v>-0</v>
      </c>
      <c r="L1295">
        <v>1.632207092108893</v>
      </c>
      <c r="M1295">
        <v>5.6</v>
      </c>
      <c r="N1295">
        <v>1.12</v>
      </c>
    </row>
    <row r="1296" spans="1:14">
      <c r="A1296" s="1" t="s">
        <v>1308</v>
      </c>
      <c r="B1296">
        <f>HYPERLINK("https://www.suredividend.com/sure-analysis-research-database/","Progyny Inc")</f>
        <v>0</v>
      </c>
      <c r="C1296" t="s">
        <v>1922</v>
      </c>
      <c r="D1296">
        <v>37.16</v>
      </c>
      <c r="E1296">
        <v>0</v>
      </c>
      <c r="H1296">
        <v>0</v>
      </c>
      <c r="I1296">
        <v>3421.72721</v>
      </c>
      <c r="J1296">
        <v>75.01320202038802</v>
      </c>
      <c r="K1296">
        <v>0</v>
      </c>
      <c r="L1296">
        <v>1.651926586173884</v>
      </c>
      <c r="M1296">
        <v>68.31999999999999</v>
      </c>
      <c r="N1296">
        <v>25.67</v>
      </c>
    </row>
    <row r="1297" spans="1:14">
      <c r="A1297" s="1" t="s">
        <v>1309</v>
      </c>
      <c r="B1297">
        <f>HYPERLINK("https://www.suredividend.com/sure-analysis-PGRE/","Paramount Group Inc")</f>
        <v>0</v>
      </c>
      <c r="C1297" t="s">
        <v>1929</v>
      </c>
      <c r="D1297">
        <v>5.91</v>
      </c>
      <c r="E1297">
        <v>0.05245346869712351</v>
      </c>
      <c r="F1297">
        <v>0.107142857142857</v>
      </c>
      <c r="G1297">
        <v>-0.03990187965283842</v>
      </c>
      <c r="H1297">
        <v>0.297804159559465</v>
      </c>
      <c r="I1297">
        <v>1331.850621</v>
      </c>
      <c r="J1297">
        <v>631.8076949003796</v>
      </c>
      <c r="K1297">
        <v>31.02126662077761</v>
      </c>
      <c r="L1297">
        <v>1.039278602766685</v>
      </c>
      <c r="M1297">
        <v>11.2</v>
      </c>
      <c r="N1297">
        <v>5.87</v>
      </c>
    </row>
    <row r="1298" spans="1:14">
      <c r="A1298" s="1" t="s">
        <v>1310</v>
      </c>
      <c r="B1298">
        <f>HYPERLINK("https://www.suredividend.com/sure-analysis-research-database/","PGT Innovations Inc")</f>
        <v>0</v>
      </c>
      <c r="C1298" t="s">
        <v>1924</v>
      </c>
      <c r="D1298">
        <v>23.69</v>
      </c>
      <c r="E1298">
        <v>0</v>
      </c>
      <c r="H1298">
        <v>0</v>
      </c>
      <c r="I1298">
        <v>1420.137086</v>
      </c>
      <c r="J1298">
        <v>21.72260594254773</v>
      </c>
      <c r="K1298">
        <v>0</v>
      </c>
      <c r="L1298">
        <v>0.9572982422791251</v>
      </c>
      <c r="M1298">
        <v>23.8</v>
      </c>
      <c r="N1298">
        <v>15.42</v>
      </c>
    </row>
    <row r="1299" spans="1:14">
      <c r="A1299" s="1" t="s">
        <v>1311</v>
      </c>
      <c r="B1299">
        <f>HYPERLINK("https://www.suredividend.com/sure-analysis-research-database/","Phathom Pharmaceuticals Inc")</f>
        <v>0</v>
      </c>
      <c r="C1299" t="s">
        <v>1922</v>
      </c>
      <c r="D1299">
        <v>10.18</v>
      </c>
      <c r="E1299">
        <v>0</v>
      </c>
      <c r="H1299">
        <v>0</v>
      </c>
      <c r="I1299">
        <v>398.803587</v>
      </c>
      <c r="J1299">
        <v>0</v>
      </c>
      <c r="K1299" t="s">
        <v>1921</v>
      </c>
      <c r="L1299">
        <v>1.653476586982116</v>
      </c>
      <c r="M1299">
        <v>34.36</v>
      </c>
      <c r="N1299">
        <v>6.1</v>
      </c>
    </row>
    <row r="1300" spans="1:14">
      <c r="A1300" s="1" t="s">
        <v>1312</v>
      </c>
      <c r="B1300">
        <f>HYPERLINK("https://www.suredividend.com/sure-analysis-research-database/","Phreesia Inc")</f>
        <v>0</v>
      </c>
      <c r="C1300" t="s">
        <v>1922</v>
      </c>
      <c r="D1300">
        <v>23.81</v>
      </c>
      <c r="E1300">
        <v>0</v>
      </c>
      <c r="H1300">
        <v>0</v>
      </c>
      <c r="I1300">
        <v>1250.790968</v>
      </c>
      <c r="J1300">
        <v>0</v>
      </c>
      <c r="K1300" t="s">
        <v>1921</v>
      </c>
      <c r="L1300">
        <v>1.732311796906999</v>
      </c>
      <c r="M1300">
        <v>76.09999999999999</v>
      </c>
      <c r="N1300">
        <v>13.19</v>
      </c>
    </row>
    <row r="1301" spans="1:14">
      <c r="A1301" s="1" t="s">
        <v>1313</v>
      </c>
      <c r="B1301">
        <f>HYPERLINK("https://www.suredividend.com/sure-analysis-research-database/","Impinj Inc")</f>
        <v>0</v>
      </c>
      <c r="C1301" t="s">
        <v>1920</v>
      </c>
      <c r="D1301">
        <v>81.65000000000001</v>
      </c>
      <c r="E1301">
        <v>0</v>
      </c>
      <c r="H1301">
        <v>0</v>
      </c>
      <c r="I1301">
        <v>2090.239347</v>
      </c>
      <c r="J1301" t="s">
        <v>1921</v>
      </c>
      <c r="K1301">
        <v>-0</v>
      </c>
      <c r="L1301">
        <v>1.984831543617587</v>
      </c>
      <c r="M1301">
        <v>99</v>
      </c>
      <c r="N1301">
        <v>39.74</v>
      </c>
    </row>
    <row r="1302" spans="1:14">
      <c r="A1302" s="1" t="s">
        <v>1314</v>
      </c>
      <c r="B1302">
        <f>HYPERLINK("https://www.suredividend.com/sure-analysis-research-database/","Ping Identity Holding Corp")</f>
        <v>0</v>
      </c>
      <c r="C1302" t="s">
        <v>1920</v>
      </c>
      <c r="D1302">
        <v>28.26</v>
      </c>
      <c r="E1302">
        <v>0</v>
      </c>
      <c r="H1302">
        <v>0</v>
      </c>
      <c r="I1302">
        <v>2428.236091</v>
      </c>
      <c r="J1302">
        <v>0</v>
      </c>
      <c r="K1302" t="s">
        <v>1921</v>
      </c>
      <c r="L1302">
        <v>1.358189439387517</v>
      </c>
      <c r="M1302">
        <v>30.4</v>
      </c>
      <c r="N1302">
        <v>15.85</v>
      </c>
    </row>
    <row r="1303" spans="1:14">
      <c r="A1303" s="1" t="s">
        <v>1315</v>
      </c>
      <c r="B1303">
        <f>HYPERLINK("https://www.suredividend.com/sure-analysis-research-database/","Piper Sandler Co`s")</f>
        <v>0</v>
      </c>
      <c r="C1303" t="s">
        <v>1923</v>
      </c>
      <c r="D1303">
        <v>108.97</v>
      </c>
      <c r="E1303">
        <v>0.021284928391102</v>
      </c>
      <c r="F1303">
        <v>-0.7999999999999999</v>
      </c>
      <c r="G1303">
        <v>0.09856054330611785</v>
      </c>
      <c r="H1303">
        <v>2.319418646778428</v>
      </c>
      <c r="I1303">
        <v>1900.016721</v>
      </c>
      <c r="J1303">
        <v>0</v>
      </c>
      <c r="K1303" t="s">
        <v>1921</v>
      </c>
      <c r="L1303">
        <v>1.195756818560965</v>
      </c>
      <c r="M1303">
        <v>182.98</v>
      </c>
      <c r="N1303">
        <v>102.1</v>
      </c>
    </row>
    <row r="1304" spans="1:14">
      <c r="A1304" s="1" t="s">
        <v>1316</v>
      </c>
      <c r="B1304">
        <f>HYPERLINK("https://www.suredividend.com/sure-analysis-research-database/","PJT Partners Inc")</f>
        <v>0</v>
      </c>
      <c r="C1304" t="s">
        <v>1923</v>
      </c>
      <c r="D1304">
        <v>69.67</v>
      </c>
      <c r="E1304">
        <v>0.011465677230884</v>
      </c>
      <c r="F1304">
        <v>-0.9166666666666666</v>
      </c>
      <c r="G1304">
        <v>0.3797296614612149</v>
      </c>
      <c r="H1304">
        <v>0.7988137326757241</v>
      </c>
      <c r="I1304">
        <v>1716.142234</v>
      </c>
      <c r="J1304">
        <v>16.95574910475927</v>
      </c>
      <c r="K1304">
        <v>0.2707843161612624</v>
      </c>
      <c r="L1304">
        <v>0.725987682897214</v>
      </c>
      <c r="M1304">
        <v>88.75</v>
      </c>
      <c r="N1304">
        <v>54.31</v>
      </c>
    </row>
    <row r="1305" spans="1:14">
      <c r="A1305" s="1" t="s">
        <v>1317</v>
      </c>
      <c r="B1305">
        <f>HYPERLINK("https://www.suredividend.com/sure-analysis-research-database/","Park Aerospace Corp")</f>
        <v>0</v>
      </c>
      <c r="C1305" t="s">
        <v>1924</v>
      </c>
      <c r="D1305">
        <v>10.41</v>
      </c>
      <c r="E1305">
        <v>0.03794972005783701</v>
      </c>
      <c r="F1305">
        <v>0</v>
      </c>
      <c r="G1305">
        <v>0</v>
      </c>
      <c r="H1305">
        <v>0.395056585802087</v>
      </c>
      <c r="I1305">
        <v>213.105296</v>
      </c>
      <c r="J1305">
        <v>27.93358187180496</v>
      </c>
      <c r="K1305">
        <v>1.061409419135107</v>
      </c>
      <c r="L1305">
        <v>0.519203822164781</v>
      </c>
      <c r="M1305">
        <v>14.07</v>
      </c>
      <c r="N1305">
        <v>10.08</v>
      </c>
    </row>
    <row r="1306" spans="1:14">
      <c r="A1306" s="1" t="s">
        <v>1318</v>
      </c>
      <c r="B1306">
        <f>HYPERLINK("https://www.suredividend.com/sure-analysis-research-database/","Park-Ohio Holdings Corp.")</f>
        <v>0</v>
      </c>
      <c r="C1306" t="s">
        <v>1924</v>
      </c>
      <c r="D1306">
        <v>11.44</v>
      </c>
      <c r="E1306">
        <v>0.043158406414581</v>
      </c>
      <c r="H1306">
        <v>0.4937321693828101</v>
      </c>
      <c r="I1306">
        <v>146.641249</v>
      </c>
      <c r="J1306" t="s">
        <v>1921</v>
      </c>
      <c r="K1306" t="s">
        <v>1921</v>
      </c>
      <c r="L1306">
        <v>1.179152900719758</v>
      </c>
      <c r="M1306">
        <v>26.1</v>
      </c>
      <c r="N1306">
        <v>9.17</v>
      </c>
    </row>
    <row r="1307" spans="1:14">
      <c r="A1307" s="1" t="s">
        <v>1319</v>
      </c>
      <c r="B1307">
        <f>HYPERLINK("https://www.suredividend.com/sure-analysis-research-database/","Photronics, Inc.")</f>
        <v>0</v>
      </c>
      <c r="C1307" t="s">
        <v>1920</v>
      </c>
      <c r="D1307">
        <v>15.2</v>
      </c>
      <c r="E1307">
        <v>0</v>
      </c>
      <c r="H1307">
        <v>0</v>
      </c>
      <c r="I1307">
        <v>937.6786980000001</v>
      </c>
      <c r="J1307">
        <v>9.23484737189399</v>
      </c>
      <c r="K1307">
        <v>0</v>
      </c>
      <c r="L1307">
        <v>1.64999546832335</v>
      </c>
      <c r="M1307">
        <v>25.81</v>
      </c>
      <c r="N1307">
        <v>12.18</v>
      </c>
    </row>
    <row r="1308" spans="1:14">
      <c r="A1308" s="1" t="s">
        <v>1320</v>
      </c>
      <c r="B1308">
        <f>HYPERLINK("https://www.suredividend.com/sure-analysis-research-database/","Dave &amp; Buster`s Entertainment Inc")</f>
        <v>0</v>
      </c>
      <c r="C1308" t="s">
        <v>1927</v>
      </c>
      <c r="D1308">
        <v>31.65</v>
      </c>
      <c r="E1308">
        <v>0</v>
      </c>
      <c r="H1308">
        <v>0</v>
      </c>
      <c r="I1308">
        <v>1526.659114</v>
      </c>
      <c r="J1308">
        <v>11.53876298117258</v>
      </c>
      <c r="K1308">
        <v>0</v>
      </c>
      <c r="L1308">
        <v>1.549982217099619</v>
      </c>
      <c r="M1308">
        <v>52.54</v>
      </c>
      <c r="N1308">
        <v>29.6</v>
      </c>
    </row>
    <row r="1309" spans="1:14">
      <c r="A1309" s="1" t="s">
        <v>1321</v>
      </c>
      <c r="B1309">
        <f>HYPERLINK("https://www.suredividend.com/sure-analysis-research-database/","PLBY Group Inc")</f>
        <v>0</v>
      </c>
      <c r="C1309" t="s">
        <v>1921</v>
      </c>
      <c r="D1309">
        <v>3.84</v>
      </c>
      <c r="E1309">
        <v>0</v>
      </c>
      <c r="H1309">
        <v>0</v>
      </c>
      <c r="I1309">
        <v>175.044357</v>
      </c>
      <c r="J1309">
        <v>0</v>
      </c>
      <c r="K1309" t="s">
        <v>1921</v>
      </c>
      <c r="L1309">
        <v>1.814138474436708</v>
      </c>
      <c r="M1309">
        <v>43.25</v>
      </c>
      <c r="N1309">
        <v>3.68</v>
      </c>
    </row>
    <row r="1310" spans="1:14">
      <c r="A1310" s="1" t="s">
        <v>1322</v>
      </c>
      <c r="B1310">
        <f>HYPERLINK("https://www.suredividend.com/sure-analysis-research-database/","Childrens Place Inc")</f>
        <v>0</v>
      </c>
      <c r="C1310" t="s">
        <v>1927</v>
      </c>
      <c r="D1310">
        <v>37.98</v>
      </c>
      <c r="E1310">
        <v>0</v>
      </c>
      <c r="H1310">
        <v>0</v>
      </c>
      <c r="I1310">
        <v>494.816277</v>
      </c>
      <c r="J1310">
        <v>3.977494913668369</v>
      </c>
      <c r="K1310">
        <v>0</v>
      </c>
      <c r="L1310">
        <v>1.521552783141604</v>
      </c>
      <c r="M1310">
        <v>113.5</v>
      </c>
      <c r="N1310">
        <v>29.2</v>
      </c>
    </row>
    <row r="1311" spans="1:14">
      <c r="A1311" s="1" t="s">
        <v>1323</v>
      </c>
      <c r="B1311">
        <f>HYPERLINK("https://www.suredividend.com/sure-analysis-research-database/","Polymet Mining Corp")</f>
        <v>0</v>
      </c>
      <c r="C1311" t="s">
        <v>1925</v>
      </c>
      <c r="D1311">
        <v>2.84</v>
      </c>
      <c r="E1311">
        <v>0</v>
      </c>
      <c r="H1311">
        <v>0</v>
      </c>
      <c r="I1311">
        <v>288.178015</v>
      </c>
      <c r="J1311">
        <v>0</v>
      </c>
      <c r="K1311" t="s">
        <v>1921</v>
      </c>
      <c r="L1311">
        <v>0.8311849335302811</v>
      </c>
      <c r="M1311">
        <v>4.79</v>
      </c>
      <c r="N1311">
        <v>2.41</v>
      </c>
    </row>
    <row r="1312" spans="1:14">
      <c r="A1312" s="1" t="s">
        <v>1324</v>
      </c>
      <c r="B1312">
        <f>HYPERLINK("https://www.suredividend.com/sure-analysis-research-database/","Palomar Holdings Inc")</f>
        <v>0</v>
      </c>
      <c r="C1312" t="s">
        <v>1923</v>
      </c>
      <c r="D1312">
        <v>92.16</v>
      </c>
      <c r="E1312">
        <v>0</v>
      </c>
      <c r="H1312">
        <v>0</v>
      </c>
      <c r="I1312">
        <v>2326.682696</v>
      </c>
      <c r="J1312">
        <v>0</v>
      </c>
      <c r="K1312" t="s">
        <v>1921</v>
      </c>
      <c r="L1312">
        <v>1.116992798307215</v>
      </c>
      <c r="M1312">
        <v>97.18000000000001</v>
      </c>
      <c r="N1312">
        <v>44.01</v>
      </c>
    </row>
    <row r="1313" spans="1:14">
      <c r="A1313" s="1" t="s">
        <v>1325</v>
      </c>
      <c r="B1313">
        <f>HYPERLINK("https://www.suredividend.com/sure-analysis-research-database/","Douglas Dynamics Inc")</f>
        <v>0</v>
      </c>
      <c r="C1313" t="s">
        <v>1927</v>
      </c>
      <c r="D1313">
        <v>28.66</v>
      </c>
      <c r="E1313">
        <v>0.03973194985983401</v>
      </c>
      <c r="F1313">
        <v>0.01754385964912264</v>
      </c>
      <c r="G1313">
        <v>0.03857377308425858</v>
      </c>
      <c r="H1313">
        <v>1.138717682982865</v>
      </c>
      <c r="I1313">
        <v>655.935487</v>
      </c>
      <c r="J1313">
        <v>22.57953484956971</v>
      </c>
      <c r="K1313">
        <v>0.9037441928435438</v>
      </c>
      <c r="L1313">
        <v>0.8634606654699261</v>
      </c>
      <c r="M1313">
        <v>44.07</v>
      </c>
      <c r="N1313">
        <v>27.53</v>
      </c>
    </row>
    <row r="1314" spans="1:14">
      <c r="A1314" s="1" t="s">
        <v>1326</v>
      </c>
      <c r="B1314">
        <f>HYPERLINK("https://www.suredividend.com/sure-analysis-research-database/","Preformed Line Products Co.")</f>
        <v>0</v>
      </c>
      <c r="C1314" t="s">
        <v>1924</v>
      </c>
      <c r="D1314">
        <v>72.84999999999999</v>
      </c>
      <c r="E1314">
        <v>0.010931531257254</v>
      </c>
      <c r="F1314">
        <v>0</v>
      </c>
      <c r="G1314">
        <v>0</v>
      </c>
      <c r="H1314">
        <v>0.7963620520909651</v>
      </c>
      <c r="I1314">
        <v>359.885848</v>
      </c>
      <c r="J1314">
        <v>7.878756685931958</v>
      </c>
      <c r="K1314">
        <v>0.08674967887701145</v>
      </c>
      <c r="L1314">
        <v>0.6123570726616111</v>
      </c>
      <c r="M1314">
        <v>86.94</v>
      </c>
      <c r="N1314">
        <v>54.46</v>
      </c>
    </row>
    <row r="1315" spans="1:14">
      <c r="A1315" s="1" t="s">
        <v>1327</v>
      </c>
      <c r="B1315">
        <f>HYPERLINK("https://www.suredividend.com/sure-analysis-research-database/","Pliant Therapeutics Inc")</f>
        <v>0</v>
      </c>
      <c r="C1315" t="s">
        <v>1921</v>
      </c>
      <c r="D1315">
        <v>22</v>
      </c>
      <c r="E1315">
        <v>0</v>
      </c>
      <c r="H1315">
        <v>0</v>
      </c>
      <c r="I1315">
        <v>1071.003164</v>
      </c>
      <c r="J1315">
        <v>0</v>
      </c>
      <c r="K1315" t="s">
        <v>1921</v>
      </c>
      <c r="L1315">
        <v>0.7571141649656471</v>
      </c>
      <c r="M1315">
        <v>24.81</v>
      </c>
      <c r="N1315">
        <v>3.97</v>
      </c>
    </row>
    <row r="1316" spans="1:14">
      <c r="A1316" s="1" t="s">
        <v>1328</v>
      </c>
      <c r="B1316">
        <f>HYPERLINK("https://www.suredividend.com/sure-analysis-research-database/","Pulse Biosciences Inc")</f>
        <v>0</v>
      </c>
      <c r="C1316" t="s">
        <v>1922</v>
      </c>
      <c r="D1316">
        <v>1.88</v>
      </c>
      <c r="E1316">
        <v>0</v>
      </c>
      <c r="H1316">
        <v>0</v>
      </c>
      <c r="I1316">
        <v>69.79678</v>
      </c>
      <c r="J1316">
        <v>0</v>
      </c>
      <c r="K1316" t="s">
        <v>1921</v>
      </c>
      <c r="L1316">
        <v>1.381642321431691</v>
      </c>
      <c r="M1316">
        <v>24.58</v>
      </c>
      <c r="N1316">
        <v>1.18</v>
      </c>
    </row>
    <row r="1317" spans="1:14">
      <c r="A1317" s="1" t="s">
        <v>1329</v>
      </c>
      <c r="B1317">
        <f>HYPERLINK("https://www.suredividend.com/sure-analysis-research-database/","ePlus Inc")</f>
        <v>0</v>
      </c>
      <c r="C1317" t="s">
        <v>1920</v>
      </c>
      <c r="D1317">
        <v>42.06</v>
      </c>
      <c r="E1317">
        <v>0</v>
      </c>
      <c r="H1317">
        <v>0</v>
      </c>
      <c r="I1317">
        <v>1131.05935</v>
      </c>
      <c r="J1317">
        <v>10.83172302582814</v>
      </c>
      <c r="K1317">
        <v>0</v>
      </c>
      <c r="L1317">
        <v>0.9513276729757011</v>
      </c>
      <c r="M1317">
        <v>69.73999999999999</v>
      </c>
      <c r="N1317">
        <v>40.37</v>
      </c>
    </row>
    <row r="1318" spans="1:14">
      <c r="A1318" s="1" t="s">
        <v>1330</v>
      </c>
      <c r="B1318">
        <f>HYPERLINK("https://www.suredividend.com/sure-analysis-research-database/","Plexus Corp.")</f>
        <v>0</v>
      </c>
      <c r="C1318" t="s">
        <v>1920</v>
      </c>
      <c r="D1318">
        <v>89.8</v>
      </c>
      <c r="E1318">
        <v>0</v>
      </c>
      <c r="H1318">
        <v>0</v>
      </c>
      <c r="I1318">
        <v>2488.553225</v>
      </c>
      <c r="J1318">
        <v>20.5449918284115</v>
      </c>
      <c r="K1318">
        <v>0</v>
      </c>
      <c r="L1318">
        <v>0.8800968346900231</v>
      </c>
      <c r="M1318">
        <v>99.12</v>
      </c>
      <c r="N1318">
        <v>72.88</v>
      </c>
    </row>
    <row r="1319" spans="1:14">
      <c r="A1319" s="1" t="s">
        <v>1331</v>
      </c>
      <c r="B1319">
        <f>HYPERLINK("https://www.suredividend.com/sure-analysis-PLYM/","Plymouth Industrial Reit Inc")</f>
        <v>0</v>
      </c>
      <c r="C1319" t="s">
        <v>1929</v>
      </c>
      <c r="D1319">
        <v>15.99</v>
      </c>
      <c r="E1319">
        <v>0.05503439649781113</v>
      </c>
      <c r="F1319">
        <v>0.04761904761904767</v>
      </c>
      <c r="G1319">
        <v>-0.101168503026812</v>
      </c>
      <c r="H1319">
        <v>0.8548160303397591</v>
      </c>
      <c r="I1319">
        <v>641.6396999999999</v>
      </c>
      <c r="J1319">
        <v>0</v>
      </c>
      <c r="K1319" t="s">
        <v>1921</v>
      </c>
      <c r="L1319">
        <v>0.7287541182360771</v>
      </c>
      <c r="M1319">
        <v>31.31</v>
      </c>
      <c r="N1319">
        <v>15.78</v>
      </c>
    </row>
    <row r="1320" spans="1:14">
      <c r="A1320" s="1" t="s">
        <v>1332</v>
      </c>
      <c r="B1320">
        <f>HYPERLINK("https://www.suredividend.com/sure-analysis-PMT/","Pennymac Mortgage Investment Trust")</f>
        <v>0</v>
      </c>
      <c r="C1320" t="s">
        <v>1929</v>
      </c>
      <c r="D1320">
        <v>11.25</v>
      </c>
      <c r="E1320">
        <v>0.1671111111111111</v>
      </c>
      <c r="F1320">
        <v>0</v>
      </c>
      <c r="G1320">
        <v>0</v>
      </c>
      <c r="H1320">
        <v>1.79608290066368</v>
      </c>
      <c r="I1320">
        <v>1018.923998</v>
      </c>
      <c r="J1320" t="s">
        <v>1921</v>
      </c>
      <c r="K1320" t="s">
        <v>1921</v>
      </c>
      <c r="L1320">
        <v>0.8956712952307481</v>
      </c>
      <c r="M1320">
        <v>18.75</v>
      </c>
      <c r="N1320">
        <v>11.07</v>
      </c>
    </row>
    <row r="1321" spans="1:14">
      <c r="A1321" s="1" t="s">
        <v>1333</v>
      </c>
      <c r="B1321">
        <f>HYPERLINK("https://www.suredividend.com/sure-analysis-research-database/","PMV Pharmaceuticals Inc")</f>
        <v>0</v>
      </c>
      <c r="C1321" t="s">
        <v>1921</v>
      </c>
      <c r="D1321">
        <v>11.72</v>
      </c>
      <c r="E1321">
        <v>0</v>
      </c>
      <c r="H1321">
        <v>0</v>
      </c>
      <c r="I1321">
        <v>534.696989</v>
      </c>
      <c r="J1321">
        <v>0</v>
      </c>
      <c r="K1321" t="s">
        <v>1921</v>
      </c>
      <c r="L1321">
        <v>1.453913181497379</v>
      </c>
      <c r="M1321">
        <v>25.93</v>
      </c>
      <c r="N1321">
        <v>8.99</v>
      </c>
    </row>
    <row r="1322" spans="1:14">
      <c r="A1322" s="1" t="s">
        <v>1334</v>
      </c>
      <c r="B1322">
        <f>HYPERLINK("https://www.suredividend.com/sure-analysis-PNM/","PNM Resources Inc")</f>
        <v>0</v>
      </c>
      <c r="C1322" t="s">
        <v>1930</v>
      </c>
      <c r="D1322">
        <v>46.15</v>
      </c>
      <c r="E1322">
        <v>0.03011917659804984</v>
      </c>
      <c r="F1322">
        <v>0.06106870229007644</v>
      </c>
      <c r="G1322">
        <v>0.07460439685619358</v>
      </c>
      <c r="H1322">
        <v>1.355343865758358</v>
      </c>
      <c r="I1322">
        <v>3961.279435</v>
      </c>
      <c r="J1322">
        <v>25.41024571404746</v>
      </c>
      <c r="K1322">
        <v>0.7488087656123525</v>
      </c>
      <c r="L1322">
        <v>0.194018223542884</v>
      </c>
      <c r="M1322">
        <v>48.9</v>
      </c>
      <c r="N1322">
        <v>42.88</v>
      </c>
    </row>
    <row r="1323" spans="1:14">
      <c r="A1323" s="1" t="s">
        <v>1335</v>
      </c>
      <c r="B1323">
        <f>HYPERLINK("https://www.suredividend.com/sure-analysis-research-database/","Pennant Group Inc")</f>
        <v>0</v>
      </c>
      <c r="C1323" t="s">
        <v>1922</v>
      </c>
      <c r="D1323">
        <v>10.69</v>
      </c>
      <c r="E1323">
        <v>0</v>
      </c>
      <c r="H1323">
        <v>0</v>
      </c>
      <c r="I1323">
        <v>315.899666</v>
      </c>
      <c r="J1323">
        <v>0</v>
      </c>
      <c r="K1323" t="s">
        <v>1921</v>
      </c>
      <c r="L1323">
        <v>1.364357212557897</v>
      </c>
      <c r="M1323">
        <v>27.6</v>
      </c>
      <c r="N1323">
        <v>10.07</v>
      </c>
    </row>
    <row r="1324" spans="1:14">
      <c r="A1324" s="1" t="s">
        <v>1336</v>
      </c>
      <c r="B1324">
        <f>HYPERLINK("https://www.suredividend.com/sure-analysis-research-database/","Plantronics, Inc.")</f>
        <v>0</v>
      </c>
      <c r="C1324" t="s">
        <v>1921</v>
      </c>
      <c r="D1324">
        <v>39.82</v>
      </c>
      <c r="E1324">
        <v>0</v>
      </c>
      <c r="H1324">
        <v>0</v>
      </c>
      <c r="I1324">
        <v>1751.835187</v>
      </c>
      <c r="J1324">
        <v>80.94982610045747</v>
      </c>
      <c r="K1324">
        <v>0</v>
      </c>
      <c r="M1324">
        <v>40.82</v>
      </c>
      <c r="N1324">
        <v>22.69</v>
      </c>
    </row>
    <row r="1325" spans="1:14">
      <c r="A1325" s="1" t="s">
        <v>1337</v>
      </c>
      <c r="B1325">
        <f>HYPERLINK("https://www.suredividend.com/sure-analysis-POR/","Portland General Electric Co")</f>
        <v>0</v>
      </c>
      <c r="C1325" t="s">
        <v>1930</v>
      </c>
      <c r="D1325">
        <v>42.17</v>
      </c>
      <c r="E1325">
        <v>0.04292150818117145</v>
      </c>
      <c r="F1325">
        <v>0.05232558139534893</v>
      </c>
      <c r="G1325">
        <v>0.05883413386416847</v>
      </c>
      <c r="H1325">
        <v>1.741588199422147</v>
      </c>
      <c r="I1325">
        <v>3763.370858</v>
      </c>
      <c r="J1325">
        <v>15.68071190829167</v>
      </c>
      <c r="K1325">
        <v>0.6498463430679652</v>
      </c>
      <c r="L1325">
        <v>0.38486058528269</v>
      </c>
      <c r="M1325">
        <v>55.97</v>
      </c>
      <c r="N1325">
        <v>42.04</v>
      </c>
    </row>
    <row r="1326" spans="1:14">
      <c r="A1326" s="1" t="s">
        <v>1338</v>
      </c>
      <c r="B1326">
        <f>HYPERLINK("https://www.suredividend.com/sure-analysis-research-database/","Power Integrations Inc.")</f>
        <v>0</v>
      </c>
      <c r="C1326" t="s">
        <v>1920</v>
      </c>
      <c r="D1326">
        <v>63.9</v>
      </c>
      <c r="E1326">
        <v>0.010762721983022</v>
      </c>
      <c r="F1326">
        <v>0.3846153846153846</v>
      </c>
      <c r="G1326">
        <v>0.05154749679728043</v>
      </c>
      <c r="H1326">
        <v>0.687737934715109</v>
      </c>
      <c r="I1326">
        <v>3725.856918</v>
      </c>
      <c r="J1326">
        <v>20.16090883412876</v>
      </c>
      <c r="K1326">
        <v>0.2247509590572252</v>
      </c>
      <c r="L1326">
        <v>1.373221883383267</v>
      </c>
      <c r="M1326">
        <v>109.54</v>
      </c>
      <c r="N1326">
        <v>62.5</v>
      </c>
    </row>
    <row r="1327" spans="1:14">
      <c r="A1327" s="1" t="s">
        <v>1339</v>
      </c>
      <c r="B1327">
        <f>HYPERLINK("https://www.suredividend.com/sure-analysis-research-database/","Powell Industries, Inc.")</f>
        <v>0</v>
      </c>
      <c r="C1327" t="s">
        <v>1924</v>
      </c>
      <c r="D1327">
        <v>21.01</v>
      </c>
      <c r="E1327">
        <v>0.048760729218198</v>
      </c>
      <c r="F1327">
        <v>0</v>
      </c>
      <c r="G1327">
        <v>0</v>
      </c>
      <c r="H1327">
        <v>1.02446292087436</v>
      </c>
      <c r="I1327">
        <v>247.539673</v>
      </c>
      <c r="J1327">
        <v>29.97211199055576</v>
      </c>
      <c r="K1327">
        <v>1.47362330390443</v>
      </c>
      <c r="L1327">
        <v>0.715280473894891</v>
      </c>
      <c r="M1327">
        <v>30.83</v>
      </c>
      <c r="N1327">
        <v>18.44</v>
      </c>
    </row>
    <row r="1328" spans="1:14">
      <c r="A1328" s="1" t="s">
        <v>1340</v>
      </c>
      <c r="B1328">
        <f>HYPERLINK("https://www.suredividend.com/sure-analysis-research-database/","AMMO Inc")</f>
        <v>0</v>
      </c>
      <c r="C1328" t="s">
        <v>1927</v>
      </c>
      <c r="D1328">
        <v>2.98</v>
      </c>
      <c r="E1328">
        <v>0</v>
      </c>
      <c r="H1328">
        <v>0</v>
      </c>
      <c r="I1328">
        <v>348.543795</v>
      </c>
      <c r="J1328">
        <v>0</v>
      </c>
      <c r="K1328" t="s">
        <v>1921</v>
      </c>
      <c r="L1328">
        <v>1.460856722698583</v>
      </c>
      <c r="M1328">
        <v>7.55</v>
      </c>
      <c r="N1328">
        <v>2.86</v>
      </c>
    </row>
    <row r="1329" spans="1:14">
      <c r="A1329" s="1" t="s">
        <v>1341</v>
      </c>
      <c r="B1329">
        <f>HYPERLINK("https://www.suredividend.com/sure-analysis-research-database/","Pacific Premier Bancorp, Inc.")</f>
        <v>0</v>
      </c>
      <c r="C1329" t="s">
        <v>1923</v>
      </c>
      <c r="D1329">
        <v>32.07</v>
      </c>
      <c r="E1329">
        <v>0.04056423478883801</v>
      </c>
      <c r="H1329">
        <v>1.300895009678048</v>
      </c>
      <c r="I1329">
        <v>3045.388238</v>
      </c>
      <c r="J1329">
        <v>9.879412689193398</v>
      </c>
      <c r="K1329">
        <v>0.3966143322189171</v>
      </c>
      <c r="L1329">
        <v>0.9580784529401271</v>
      </c>
      <c r="M1329">
        <v>43.97</v>
      </c>
      <c r="N1329">
        <v>27.64</v>
      </c>
    </row>
    <row r="1330" spans="1:14">
      <c r="A1330" s="1" t="s">
        <v>1342</v>
      </c>
      <c r="B1330">
        <f>HYPERLINK("https://www.suredividend.com/sure-analysis-research-database/","Perpetua Resources Corp.")</f>
        <v>0</v>
      </c>
      <c r="C1330" t="s">
        <v>1921</v>
      </c>
      <c r="D1330">
        <v>1.81</v>
      </c>
      <c r="E1330">
        <v>0</v>
      </c>
      <c r="H1330">
        <v>0</v>
      </c>
      <c r="I1330">
        <v>114.008025</v>
      </c>
      <c r="J1330">
        <v>0</v>
      </c>
      <c r="K1330" t="s">
        <v>1921</v>
      </c>
      <c r="L1330">
        <v>0.8463135337707101</v>
      </c>
      <c r="M1330">
        <v>5.94</v>
      </c>
      <c r="N1330">
        <v>1.81</v>
      </c>
    </row>
    <row r="1331" spans="1:14">
      <c r="A1331" s="1" t="s">
        <v>1343</v>
      </c>
      <c r="B1331">
        <f>HYPERLINK("https://www.suredividend.com/sure-analysis-research-database/","Proassurance Corporation")</f>
        <v>0</v>
      </c>
      <c r="C1331" t="s">
        <v>1923</v>
      </c>
      <c r="D1331">
        <v>19.6</v>
      </c>
      <c r="E1331">
        <v>0.010167326239817</v>
      </c>
      <c r="F1331">
        <v>0</v>
      </c>
      <c r="G1331">
        <v>-0.3057407703118492</v>
      </c>
      <c r="H1331">
        <v>0.199279594300425</v>
      </c>
      <c r="I1331">
        <v>1057.665706</v>
      </c>
      <c r="J1331">
        <v>27.03644441717791</v>
      </c>
      <c r="K1331">
        <v>0.2757431773909299</v>
      </c>
      <c r="L1331">
        <v>0.440182145793464</v>
      </c>
      <c r="M1331">
        <v>27.41</v>
      </c>
      <c r="N1331">
        <v>18.35</v>
      </c>
    </row>
    <row r="1332" spans="1:14">
      <c r="A1332" s="1" t="s">
        <v>1344</v>
      </c>
      <c r="B1332">
        <f>HYPERLINK("https://www.suredividend.com/sure-analysis-research-database/","PRA Group Inc")</f>
        <v>0</v>
      </c>
      <c r="C1332" t="s">
        <v>1923</v>
      </c>
      <c r="D1332">
        <v>31.99</v>
      </c>
      <c r="E1332">
        <v>0</v>
      </c>
      <c r="H1332">
        <v>0</v>
      </c>
      <c r="I1332">
        <v>1246.841888</v>
      </c>
      <c r="J1332">
        <v>8.586355728934247</v>
      </c>
      <c r="K1332">
        <v>0</v>
      </c>
      <c r="L1332">
        <v>0.399916719851882</v>
      </c>
      <c r="M1332">
        <v>51</v>
      </c>
      <c r="N1332">
        <v>31.95</v>
      </c>
    </row>
    <row r="1333" spans="1:14">
      <c r="A1333" s="1" t="s">
        <v>1345</v>
      </c>
      <c r="B1333">
        <f>HYPERLINK("https://www.suredividend.com/sure-analysis-research-database/","Praxis Precision Medicines Inc")</f>
        <v>0</v>
      </c>
      <c r="C1333" t="s">
        <v>1921</v>
      </c>
      <c r="D1333">
        <v>2.13</v>
      </c>
      <c r="E1333">
        <v>0</v>
      </c>
      <c r="H1333">
        <v>0</v>
      </c>
      <c r="I1333">
        <v>97.077153</v>
      </c>
      <c r="J1333">
        <v>0</v>
      </c>
      <c r="K1333" t="s">
        <v>1921</v>
      </c>
      <c r="L1333">
        <v>1.480530814867082</v>
      </c>
      <c r="M1333">
        <v>23.56</v>
      </c>
      <c r="N1333">
        <v>1.63</v>
      </c>
    </row>
    <row r="1334" spans="1:14">
      <c r="A1334" s="1" t="s">
        <v>1346</v>
      </c>
      <c r="B1334">
        <f>HYPERLINK("https://www.suredividend.com/sure-analysis-research-database/","Porch Group Inc")</f>
        <v>0</v>
      </c>
      <c r="C1334" t="s">
        <v>1921</v>
      </c>
      <c r="D1334">
        <v>2.08</v>
      </c>
      <c r="E1334">
        <v>0</v>
      </c>
      <c r="H1334">
        <v>0</v>
      </c>
      <c r="I1334">
        <v>207.502127</v>
      </c>
      <c r="J1334">
        <v>0</v>
      </c>
      <c r="K1334" t="s">
        <v>1921</v>
      </c>
      <c r="L1334">
        <v>2.533019214083181</v>
      </c>
      <c r="M1334">
        <v>27.5</v>
      </c>
      <c r="N1334">
        <v>1.8</v>
      </c>
    </row>
    <row r="1335" spans="1:14">
      <c r="A1335" s="1" t="s">
        <v>1347</v>
      </c>
      <c r="B1335">
        <f>HYPERLINK("https://www.suredividend.com/sure-analysis-research-database/","Procept BioRobotics Corp")</f>
        <v>0</v>
      </c>
      <c r="C1335" t="s">
        <v>1921</v>
      </c>
      <c r="D1335">
        <v>39.65</v>
      </c>
      <c r="E1335">
        <v>0</v>
      </c>
      <c r="H1335">
        <v>0</v>
      </c>
      <c r="I1335">
        <v>1768.08414</v>
      </c>
      <c r="J1335">
        <v>0</v>
      </c>
      <c r="K1335" t="s">
        <v>1921</v>
      </c>
      <c r="L1335">
        <v>1.646785446751557</v>
      </c>
      <c r="M1335">
        <v>52.4</v>
      </c>
      <c r="N1335">
        <v>15.38</v>
      </c>
    </row>
    <row r="1336" spans="1:14">
      <c r="A1336" s="1" t="s">
        <v>1348</v>
      </c>
      <c r="B1336">
        <f>HYPERLINK("https://www.suredividend.com/sure-analysis-research-database/","Perdoceo Education Corporation")</f>
        <v>0</v>
      </c>
      <c r="C1336" t="s">
        <v>1928</v>
      </c>
      <c r="D1336">
        <v>10.15</v>
      </c>
      <c r="E1336">
        <v>0</v>
      </c>
      <c r="H1336">
        <v>0</v>
      </c>
      <c r="I1336">
        <v>687.729013</v>
      </c>
      <c r="J1336">
        <v>6.247538271711482</v>
      </c>
      <c r="K1336">
        <v>0</v>
      </c>
      <c r="L1336">
        <v>0.586248016097357</v>
      </c>
      <c r="M1336">
        <v>13.89</v>
      </c>
      <c r="N1336">
        <v>9.65</v>
      </c>
    </row>
    <row r="1337" spans="1:14">
      <c r="A1337" s="1" t="s">
        <v>1349</v>
      </c>
      <c r="B1337">
        <f>HYPERLINK("https://www.suredividend.com/sure-analysis-research-database/","Perficient Inc.")</f>
        <v>0</v>
      </c>
      <c r="C1337" t="s">
        <v>1920</v>
      </c>
      <c r="D1337">
        <v>66.2</v>
      </c>
      <c r="E1337">
        <v>0</v>
      </c>
      <c r="H1337">
        <v>0</v>
      </c>
      <c r="I1337">
        <v>2290.716349</v>
      </c>
      <c r="J1337">
        <v>29.81034510885832</v>
      </c>
      <c r="K1337">
        <v>0</v>
      </c>
      <c r="L1337">
        <v>1.570953180027729</v>
      </c>
      <c r="M1337">
        <v>153.28</v>
      </c>
      <c r="N1337">
        <v>59.79</v>
      </c>
    </row>
    <row r="1338" spans="1:14">
      <c r="A1338" s="1" t="s">
        <v>1350</v>
      </c>
      <c r="B1338">
        <f>HYPERLINK("https://www.suredividend.com/sure-analysis-research-database/","PROG Holdings Inc")</f>
        <v>0</v>
      </c>
      <c r="C1338" t="s">
        <v>1921</v>
      </c>
      <c r="D1338">
        <v>16.14</v>
      </c>
      <c r="E1338">
        <v>0</v>
      </c>
      <c r="H1338">
        <v>0</v>
      </c>
      <c r="I1338">
        <v>814.571355</v>
      </c>
      <c r="J1338">
        <v>5.742443512558953</v>
      </c>
      <c r="K1338">
        <v>0</v>
      </c>
      <c r="L1338">
        <v>1.61334249269983</v>
      </c>
      <c r="M1338">
        <v>50.79</v>
      </c>
      <c r="N1338">
        <v>14.52</v>
      </c>
    </row>
    <row r="1339" spans="1:14">
      <c r="A1339" s="1" t="s">
        <v>1351</v>
      </c>
      <c r="B1339">
        <f>HYPERLINK("https://www.suredividend.com/sure-analysis-research-database/","Progress Software Corp.")</f>
        <v>0</v>
      </c>
      <c r="C1339" t="s">
        <v>1920</v>
      </c>
      <c r="D1339">
        <v>44.26</v>
      </c>
      <c r="E1339">
        <v>0.01575706947804</v>
      </c>
      <c r="F1339">
        <v>0</v>
      </c>
      <c r="G1339">
        <v>0.04563955259127317</v>
      </c>
      <c r="H1339">
        <v>0.697407895098057</v>
      </c>
      <c r="I1339">
        <v>1903.105776</v>
      </c>
      <c r="J1339">
        <v>22.0555330001043</v>
      </c>
      <c r="K1339">
        <v>0.3594886057206479</v>
      </c>
      <c r="L1339">
        <v>0.9598532070689331</v>
      </c>
      <c r="M1339">
        <v>53.39</v>
      </c>
      <c r="N1339">
        <v>40.33</v>
      </c>
    </row>
    <row r="1340" spans="1:14">
      <c r="A1340" s="1" t="s">
        <v>1352</v>
      </c>
      <c r="B1340">
        <f>HYPERLINK("https://www.suredividend.com/sure-analysis-research-database/","Primoris Services Corp")</f>
        <v>0</v>
      </c>
      <c r="C1340" t="s">
        <v>1924</v>
      </c>
      <c r="D1340">
        <v>17.1</v>
      </c>
      <c r="E1340">
        <v>0.013971096544545</v>
      </c>
      <c r="F1340">
        <v>0</v>
      </c>
      <c r="G1340">
        <v>0</v>
      </c>
      <c r="H1340">
        <v>0.238905750911723</v>
      </c>
      <c r="I1340">
        <v>909.923387</v>
      </c>
      <c r="J1340">
        <v>7.461385207173374</v>
      </c>
      <c r="K1340">
        <v>0.1057105092529748</v>
      </c>
      <c r="L1340">
        <v>0.8866220786190471</v>
      </c>
      <c r="M1340">
        <v>29.06</v>
      </c>
      <c r="N1340">
        <v>15.9</v>
      </c>
    </row>
    <row r="1341" spans="1:14">
      <c r="A1341" s="1" t="s">
        <v>1353</v>
      </c>
      <c r="B1341">
        <f>HYPERLINK("https://www.suredividend.com/sure-analysis-research-database/","Park National Corp.")</f>
        <v>0</v>
      </c>
      <c r="C1341" t="s">
        <v>1923</v>
      </c>
      <c r="D1341">
        <v>127.51</v>
      </c>
      <c r="E1341">
        <v>0.032158861647966</v>
      </c>
      <c r="F1341">
        <v>4.2</v>
      </c>
      <c r="G1341">
        <v>0.01613736474159566</v>
      </c>
      <c r="H1341">
        <v>4.100576448732161</v>
      </c>
      <c r="I1341">
        <v>2072.521273</v>
      </c>
      <c r="J1341">
        <v>14.27543048291443</v>
      </c>
      <c r="K1341">
        <v>0.4622972321005819</v>
      </c>
      <c r="L1341">
        <v>0.6486429665430961</v>
      </c>
      <c r="M1341">
        <v>141.85</v>
      </c>
      <c r="N1341">
        <v>111.94</v>
      </c>
    </row>
    <row r="1342" spans="1:14">
      <c r="A1342" s="1" t="s">
        <v>1354</v>
      </c>
      <c r="B1342">
        <f>HYPERLINK("https://www.suredividend.com/sure-analysis-research-database/","Proto Labs Inc")</f>
        <v>0</v>
      </c>
      <c r="C1342" t="s">
        <v>1924</v>
      </c>
      <c r="D1342">
        <v>36.74</v>
      </c>
      <c r="E1342">
        <v>0</v>
      </c>
      <c r="H1342">
        <v>0</v>
      </c>
      <c r="I1342">
        <v>1010.463894</v>
      </c>
      <c r="J1342">
        <v>41.41754699348281</v>
      </c>
      <c r="K1342">
        <v>0</v>
      </c>
      <c r="L1342">
        <v>1.061066521334731</v>
      </c>
      <c r="M1342">
        <v>79.27</v>
      </c>
      <c r="N1342">
        <v>34.99</v>
      </c>
    </row>
    <row r="1343" spans="1:14">
      <c r="A1343" s="1" t="s">
        <v>1355</v>
      </c>
      <c r="B1343">
        <f>HYPERLINK("https://www.suredividend.com/sure-analysis-research-database/","Prelude Therapeutics Inc")</f>
        <v>0</v>
      </c>
      <c r="C1343" t="s">
        <v>1921</v>
      </c>
      <c r="D1343">
        <v>6.74</v>
      </c>
      <c r="E1343">
        <v>0</v>
      </c>
      <c r="H1343">
        <v>0</v>
      </c>
      <c r="I1343">
        <v>322.396489</v>
      </c>
      <c r="J1343">
        <v>0</v>
      </c>
      <c r="K1343" t="s">
        <v>1921</v>
      </c>
      <c r="L1343">
        <v>1.43037422735255</v>
      </c>
      <c r="M1343">
        <v>20.11</v>
      </c>
      <c r="N1343">
        <v>3.87</v>
      </c>
    </row>
    <row r="1344" spans="1:14">
      <c r="A1344" s="1" t="s">
        <v>1356</v>
      </c>
      <c r="B1344">
        <f>HYPERLINK("https://www.suredividend.com/sure-analysis-research-database/","Primo Water Corporation")</f>
        <v>0</v>
      </c>
      <c r="C1344" t="s">
        <v>1928</v>
      </c>
      <c r="D1344">
        <v>13.12</v>
      </c>
      <c r="E1344">
        <v>0.018955160097214</v>
      </c>
      <c r="F1344">
        <v>0.1840864081717739</v>
      </c>
      <c r="G1344">
        <v>0.08658666109651825</v>
      </c>
      <c r="H1344">
        <v>0.248691700475453</v>
      </c>
      <c r="I1344">
        <v>2109.61951</v>
      </c>
      <c r="J1344">
        <v>0</v>
      </c>
      <c r="K1344" t="s">
        <v>1921</v>
      </c>
      <c r="M1344">
        <v>18.34</v>
      </c>
      <c r="N1344">
        <v>12.09</v>
      </c>
    </row>
    <row r="1345" spans="1:14">
      <c r="A1345" s="1" t="s">
        <v>1357</v>
      </c>
      <c r="B1345">
        <f>HYPERLINK("https://www.suredividend.com/sure-analysis-research-database/","Pros Holdings Inc")</f>
        <v>0</v>
      </c>
      <c r="C1345" t="s">
        <v>1920</v>
      </c>
      <c r="D1345">
        <v>25.25</v>
      </c>
      <c r="E1345">
        <v>0</v>
      </c>
      <c r="H1345">
        <v>0</v>
      </c>
      <c r="I1345">
        <v>1143.964077</v>
      </c>
      <c r="J1345" t="s">
        <v>1921</v>
      </c>
      <c r="K1345">
        <v>-0</v>
      </c>
      <c r="L1345">
        <v>1.8635515819082</v>
      </c>
      <c r="M1345">
        <v>39.6</v>
      </c>
      <c r="N1345">
        <v>18.09</v>
      </c>
    </row>
    <row r="1346" spans="1:14">
      <c r="A1346" s="1" t="s">
        <v>1358</v>
      </c>
      <c r="B1346">
        <f>HYPERLINK("https://www.suredividend.com/sure-analysis-research-database/","Purple Innovation Inc")</f>
        <v>0</v>
      </c>
      <c r="C1346" t="s">
        <v>1927</v>
      </c>
      <c r="D1346">
        <v>3.85</v>
      </c>
      <c r="E1346">
        <v>0</v>
      </c>
      <c r="H1346">
        <v>0</v>
      </c>
      <c r="I1346">
        <v>318.640953</v>
      </c>
      <c r="J1346" t="s">
        <v>1921</v>
      </c>
      <c r="K1346">
        <v>-0</v>
      </c>
      <c r="L1346">
        <v>2.135016706177242</v>
      </c>
      <c r="M1346">
        <v>21.53</v>
      </c>
      <c r="N1346">
        <v>2.65</v>
      </c>
    </row>
    <row r="1347" spans="1:14">
      <c r="A1347" s="1" t="s">
        <v>1359</v>
      </c>
      <c r="B1347">
        <f>HYPERLINK("https://www.suredividend.com/sure-analysis-research-database/","Prothena Corporation plc")</f>
        <v>0</v>
      </c>
      <c r="C1347" t="s">
        <v>1922</v>
      </c>
      <c r="D1347">
        <v>55.64</v>
      </c>
      <c r="E1347">
        <v>0</v>
      </c>
      <c r="H1347">
        <v>0</v>
      </c>
      <c r="I1347">
        <v>2610.785983</v>
      </c>
      <c r="J1347" t="s">
        <v>1921</v>
      </c>
      <c r="K1347">
        <v>-0</v>
      </c>
      <c r="L1347">
        <v>2.029112720514706</v>
      </c>
      <c r="M1347">
        <v>70.39</v>
      </c>
      <c r="N1347">
        <v>21.06</v>
      </c>
    </row>
    <row r="1348" spans="1:14">
      <c r="A1348" s="1" t="s">
        <v>1360</v>
      </c>
      <c r="B1348">
        <f>HYPERLINK("https://www.suredividend.com/sure-analysis-research-database/","Portage Biotech Inc")</f>
        <v>0</v>
      </c>
      <c r="C1348" t="s">
        <v>1921</v>
      </c>
      <c r="D1348">
        <v>6.52</v>
      </c>
      <c r="E1348">
        <v>0</v>
      </c>
      <c r="H1348">
        <v>0</v>
      </c>
      <c r="I1348">
        <v>110.479985</v>
      </c>
      <c r="J1348">
        <v>0</v>
      </c>
      <c r="K1348" t="s">
        <v>1921</v>
      </c>
      <c r="L1348">
        <v>0.8986393276298621</v>
      </c>
      <c r="M1348">
        <v>23.99</v>
      </c>
      <c r="N1348">
        <v>4.62</v>
      </c>
    </row>
    <row r="1349" spans="1:14">
      <c r="A1349" s="1" t="s">
        <v>1361</v>
      </c>
      <c r="B1349">
        <f>HYPERLINK("https://www.suredividend.com/sure-analysis-research-database/","Priority Technology Holdings Inc")</f>
        <v>0</v>
      </c>
      <c r="C1349" t="s">
        <v>1920</v>
      </c>
      <c r="D1349">
        <v>3.83</v>
      </c>
      <c r="E1349">
        <v>0</v>
      </c>
      <c r="H1349">
        <v>0</v>
      </c>
      <c r="I1349">
        <v>293.840698</v>
      </c>
      <c r="J1349">
        <v>0</v>
      </c>
      <c r="K1349" t="s">
        <v>1921</v>
      </c>
      <c r="L1349">
        <v>0.6923307274977081</v>
      </c>
      <c r="M1349">
        <v>7.79</v>
      </c>
      <c r="N1349">
        <v>3.1</v>
      </c>
    </row>
    <row r="1350" spans="1:14">
      <c r="A1350" s="1" t="s">
        <v>1362</v>
      </c>
      <c r="B1350">
        <f>HYPERLINK("https://www.suredividend.com/sure-analysis-research-database/","Paratek Pharmaceuticals Inc.")</f>
        <v>0</v>
      </c>
      <c r="C1350" t="s">
        <v>1922</v>
      </c>
      <c r="D1350">
        <v>3.02</v>
      </c>
      <c r="E1350">
        <v>0</v>
      </c>
      <c r="H1350">
        <v>0</v>
      </c>
      <c r="I1350">
        <v>165.684756</v>
      </c>
      <c r="J1350" t="s">
        <v>1921</v>
      </c>
      <c r="K1350">
        <v>-0</v>
      </c>
      <c r="L1350">
        <v>1.236667453755062</v>
      </c>
      <c r="M1350">
        <v>5.41</v>
      </c>
      <c r="N1350">
        <v>1.6</v>
      </c>
    </row>
    <row r="1351" spans="1:14">
      <c r="A1351" s="1" t="s">
        <v>1363</v>
      </c>
      <c r="B1351">
        <f>HYPERLINK("https://www.suredividend.com/sure-analysis-research-database/","CarParts.com Inc")</f>
        <v>0</v>
      </c>
      <c r="C1351" t="s">
        <v>1927</v>
      </c>
      <c r="D1351">
        <v>4.86</v>
      </c>
      <c r="E1351">
        <v>0</v>
      </c>
      <c r="H1351">
        <v>0</v>
      </c>
      <c r="I1351">
        <v>264.694919</v>
      </c>
      <c r="J1351" t="s">
        <v>1921</v>
      </c>
      <c r="K1351">
        <v>-0</v>
      </c>
      <c r="L1351">
        <v>1.890671848175299</v>
      </c>
      <c r="M1351">
        <v>17.46</v>
      </c>
      <c r="N1351">
        <v>4.63</v>
      </c>
    </row>
    <row r="1352" spans="1:14">
      <c r="A1352" s="1" t="s">
        <v>1364</v>
      </c>
      <c r="B1352">
        <f>HYPERLINK("https://www.suredividend.com/sure-analysis-research-database/","Party City Holdco Inc")</f>
        <v>0</v>
      </c>
      <c r="C1352" t="s">
        <v>1927</v>
      </c>
      <c r="D1352">
        <v>1.45</v>
      </c>
      <c r="E1352">
        <v>0</v>
      </c>
      <c r="H1352">
        <v>0</v>
      </c>
      <c r="I1352">
        <v>163.844101</v>
      </c>
      <c r="J1352">
        <v>1.449832326628852</v>
      </c>
      <c r="K1352">
        <v>0</v>
      </c>
      <c r="L1352">
        <v>2.580201560342</v>
      </c>
      <c r="M1352">
        <v>9.210000000000001</v>
      </c>
      <c r="N1352">
        <v>1.04</v>
      </c>
    </row>
    <row r="1353" spans="1:14">
      <c r="A1353" s="1" t="s">
        <v>1365</v>
      </c>
      <c r="B1353">
        <f>HYPERLINK("https://www.suredividend.com/sure-analysis-research-database/","Privia Health Group Inc")</f>
        <v>0</v>
      </c>
      <c r="C1353" t="s">
        <v>1921</v>
      </c>
      <c r="D1353">
        <v>34.21</v>
      </c>
      <c r="E1353">
        <v>0</v>
      </c>
      <c r="H1353">
        <v>0</v>
      </c>
      <c r="I1353">
        <v>3808.467489</v>
      </c>
      <c r="J1353">
        <v>0</v>
      </c>
      <c r="K1353" t="s">
        <v>1921</v>
      </c>
      <c r="L1353">
        <v>1.316324604187746</v>
      </c>
      <c r="M1353">
        <v>44.64</v>
      </c>
      <c r="N1353">
        <v>17.99</v>
      </c>
    </row>
    <row r="1354" spans="1:14">
      <c r="A1354" s="1" t="s">
        <v>1366</v>
      </c>
      <c r="B1354">
        <f>HYPERLINK("https://www.suredividend.com/sure-analysis-research-database/","Provention Bio Inc")</f>
        <v>0</v>
      </c>
      <c r="C1354" t="s">
        <v>1922</v>
      </c>
      <c r="D1354">
        <v>7.76</v>
      </c>
      <c r="E1354">
        <v>0</v>
      </c>
      <c r="H1354">
        <v>0</v>
      </c>
      <c r="I1354">
        <v>632.827434</v>
      </c>
      <c r="J1354">
        <v>0</v>
      </c>
      <c r="K1354" t="s">
        <v>1921</v>
      </c>
      <c r="L1354">
        <v>1.407974541725091</v>
      </c>
      <c r="M1354">
        <v>8.039999999999999</v>
      </c>
      <c r="N1354">
        <v>3.19</v>
      </c>
    </row>
    <row r="1355" spans="1:14">
      <c r="A1355" s="1" t="s">
        <v>1367</v>
      </c>
      <c r="B1355">
        <f>HYPERLINK("https://www.suredividend.com/sure-analysis-PSB/","PS Business Parks, Inc.")</f>
        <v>0</v>
      </c>
      <c r="C1355" t="s">
        <v>1929</v>
      </c>
      <c r="D1355">
        <v>187.44</v>
      </c>
      <c r="E1355">
        <v>0.022069755700724</v>
      </c>
      <c r="F1355">
        <v>-0.7934780952380953</v>
      </c>
      <c r="G1355">
        <v>-0.2705538702408765</v>
      </c>
      <c r="H1355">
        <v>4.136755008543845</v>
      </c>
      <c r="I1355">
        <v>5178.487916</v>
      </c>
      <c r="J1355">
        <v>11.84480132645616</v>
      </c>
      <c r="K1355">
        <v>0.2616543332412299</v>
      </c>
      <c r="L1355">
        <v>0.363286488982407</v>
      </c>
      <c r="M1355">
        <v>188.54</v>
      </c>
      <c r="N1355">
        <v>142.8</v>
      </c>
    </row>
    <row r="1356" spans="1:14">
      <c r="A1356" s="1" t="s">
        <v>1368</v>
      </c>
      <c r="B1356">
        <f>HYPERLINK("https://www.suredividend.com/sure-analysis-research-database/","Pricesmart Inc.")</f>
        <v>0</v>
      </c>
      <c r="C1356" t="s">
        <v>1928</v>
      </c>
      <c r="D1356">
        <v>58.17</v>
      </c>
      <c r="E1356">
        <v>0.014734644518735</v>
      </c>
      <c r="H1356">
        <v>0.85711427165482</v>
      </c>
      <c r="I1356">
        <v>1799.288962</v>
      </c>
      <c r="J1356">
        <v>18.10022394338427</v>
      </c>
      <c r="K1356">
        <v>0.2629184882376749</v>
      </c>
      <c r="L1356">
        <v>0.6851747783888591</v>
      </c>
      <c r="M1356">
        <v>87.70999999999999</v>
      </c>
      <c r="N1356">
        <v>57.37</v>
      </c>
    </row>
    <row r="1357" spans="1:14">
      <c r="A1357" s="1" t="s">
        <v>1369</v>
      </c>
      <c r="B1357">
        <f>HYPERLINK("https://www.suredividend.com/sure-analysis-research-database/","Parsons Corp")</f>
        <v>0</v>
      </c>
      <c r="C1357" t="s">
        <v>1924</v>
      </c>
      <c r="D1357">
        <v>41.66</v>
      </c>
      <c r="E1357">
        <v>0</v>
      </c>
      <c r="H1357">
        <v>0</v>
      </c>
      <c r="I1357">
        <v>4314.389462</v>
      </c>
      <c r="J1357">
        <v>49.42423175077039</v>
      </c>
      <c r="K1357">
        <v>0</v>
      </c>
      <c r="L1357">
        <v>0.764558354403006</v>
      </c>
      <c r="M1357">
        <v>43.84</v>
      </c>
      <c r="N1357">
        <v>29.25</v>
      </c>
    </row>
    <row r="1358" spans="1:14">
      <c r="A1358" s="1" t="s">
        <v>1370</v>
      </c>
      <c r="B1358">
        <f>HYPERLINK("https://www.suredividend.com/sure-analysis-research-database/","Personalis Inc")</f>
        <v>0</v>
      </c>
      <c r="C1358" t="s">
        <v>1922</v>
      </c>
      <c r="D1358">
        <v>2.85</v>
      </c>
      <c r="E1358">
        <v>0</v>
      </c>
      <c r="H1358">
        <v>0</v>
      </c>
      <c r="I1358">
        <v>130.867409</v>
      </c>
      <c r="J1358" t="s">
        <v>1921</v>
      </c>
      <c r="K1358">
        <v>-0</v>
      </c>
      <c r="L1358">
        <v>2.262207918788428</v>
      </c>
      <c r="M1358">
        <v>21.69</v>
      </c>
      <c r="N1358">
        <v>2.84</v>
      </c>
    </row>
    <row r="1359" spans="1:14">
      <c r="A1359" s="1" t="s">
        <v>1371</v>
      </c>
      <c r="B1359">
        <f>HYPERLINK("https://www.suredividend.com/sure-analysis-research-database/","Postal Realty Trust Inc")</f>
        <v>0</v>
      </c>
      <c r="C1359" t="s">
        <v>1929</v>
      </c>
      <c r="D1359">
        <v>14.87</v>
      </c>
      <c r="E1359">
        <v>0.060278836290435</v>
      </c>
      <c r="H1359">
        <v>0.89634629563878</v>
      </c>
      <c r="I1359">
        <v>279.364147</v>
      </c>
      <c r="J1359">
        <v>0</v>
      </c>
      <c r="K1359" t="s">
        <v>1921</v>
      </c>
      <c r="L1359">
        <v>0.6084270648268041</v>
      </c>
      <c r="M1359">
        <v>19.68</v>
      </c>
      <c r="N1359">
        <v>13.95</v>
      </c>
    </row>
    <row r="1360" spans="1:14">
      <c r="A1360" s="1" t="s">
        <v>1372</v>
      </c>
      <c r="B1360">
        <f>HYPERLINK("https://www.suredividend.com/sure-analysis-research-database/","Poseida Therapeutics Inc")</f>
        <v>0</v>
      </c>
      <c r="C1360" t="s">
        <v>1921</v>
      </c>
      <c r="D1360">
        <v>4</v>
      </c>
      <c r="E1360">
        <v>0</v>
      </c>
      <c r="H1360">
        <v>0</v>
      </c>
      <c r="I1360">
        <v>342.914904</v>
      </c>
      <c r="J1360">
        <v>0</v>
      </c>
      <c r="K1360" t="s">
        <v>1921</v>
      </c>
      <c r="L1360">
        <v>1.657642940306849</v>
      </c>
      <c r="M1360">
        <v>7.84</v>
      </c>
      <c r="N1360">
        <v>1.82</v>
      </c>
    </row>
    <row r="1361" spans="1:14">
      <c r="A1361" s="1" t="s">
        <v>1373</v>
      </c>
      <c r="B1361">
        <f>HYPERLINK("https://www.suredividend.com/sure-analysis-research-database/","PTC Therapeutics Inc")</f>
        <v>0</v>
      </c>
      <c r="C1361" t="s">
        <v>1922</v>
      </c>
      <c r="D1361">
        <v>49.47</v>
      </c>
      <c r="E1361">
        <v>0</v>
      </c>
      <c r="H1361">
        <v>0</v>
      </c>
      <c r="I1361">
        <v>3539.131539</v>
      </c>
      <c r="J1361" t="s">
        <v>1921</v>
      </c>
      <c r="K1361">
        <v>-0</v>
      </c>
      <c r="L1361">
        <v>0.9873379007772711</v>
      </c>
      <c r="M1361">
        <v>55.58</v>
      </c>
      <c r="N1361">
        <v>25.01</v>
      </c>
    </row>
    <row r="1362" spans="1:14">
      <c r="A1362" s="1" t="s">
        <v>1374</v>
      </c>
      <c r="B1362">
        <f>HYPERLINK("https://www.suredividend.com/sure-analysis-research-database/","Patterson-UTI Energy Inc")</f>
        <v>0</v>
      </c>
      <c r="C1362" t="s">
        <v>1926</v>
      </c>
      <c r="D1362">
        <v>13.88</v>
      </c>
      <c r="E1362">
        <v>0.010053885811762</v>
      </c>
      <c r="H1362">
        <v>0.139547935067259</v>
      </c>
      <c r="I1362">
        <v>3009.485612</v>
      </c>
      <c r="J1362" t="s">
        <v>1921</v>
      </c>
      <c r="K1362" t="s">
        <v>1921</v>
      </c>
      <c r="L1362">
        <v>1.130684200381302</v>
      </c>
      <c r="M1362">
        <v>20.43</v>
      </c>
      <c r="N1362">
        <v>6.65</v>
      </c>
    </row>
    <row r="1363" spans="1:14">
      <c r="A1363" s="1" t="s">
        <v>1375</v>
      </c>
      <c r="B1363">
        <f>HYPERLINK("https://www.suredividend.com/sure-analysis-research-database/","Protagonist Therapeutics Inc")</f>
        <v>0</v>
      </c>
      <c r="C1363" t="s">
        <v>1922</v>
      </c>
      <c r="D1363">
        <v>8.08</v>
      </c>
      <c r="E1363">
        <v>0</v>
      </c>
      <c r="H1363">
        <v>0</v>
      </c>
      <c r="I1363">
        <v>396.599269</v>
      </c>
      <c r="J1363">
        <v>0</v>
      </c>
      <c r="K1363" t="s">
        <v>1921</v>
      </c>
      <c r="L1363">
        <v>1.708124462318785</v>
      </c>
      <c r="M1363">
        <v>38.11</v>
      </c>
      <c r="N1363">
        <v>6.91</v>
      </c>
    </row>
    <row r="1364" spans="1:14">
      <c r="A1364" s="1" t="s">
        <v>1376</v>
      </c>
      <c r="B1364">
        <f>HYPERLINK("https://www.suredividend.com/sure-analysis-research-database/","Portillos Inc")</f>
        <v>0</v>
      </c>
      <c r="C1364" t="s">
        <v>1921</v>
      </c>
      <c r="D1364">
        <v>20.13</v>
      </c>
      <c r="E1364">
        <v>0</v>
      </c>
      <c r="H1364">
        <v>0</v>
      </c>
      <c r="I1364">
        <v>729.075486</v>
      </c>
      <c r="J1364">
        <v>0</v>
      </c>
      <c r="K1364" t="s">
        <v>1921</v>
      </c>
      <c r="M1364">
        <v>57.73</v>
      </c>
      <c r="N1364">
        <v>14.84</v>
      </c>
    </row>
    <row r="1365" spans="1:14">
      <c r="A1365" s="1" t="s">
        <v>1377</v>
      </c>
      <c r="B1365">
        <f>HYPERLINK("https://www.suredividend.com/sure-analysis-research-database/","P.A.M. Transportation Services, Inc.")</f>
        <v>0</v>
      </c>
      <c r="C1365" t="s">
        <v>1924</v>
      </c>
      <c r="D1365">
        <v>33.05</v>
      </c>
      <c r="E1365">
        <v>0</v>
      </c>
      <c r="H1365">
        <v>0</v>
      </c>
      <c r="I1365">
        <v>735.995639</v>
      </c>
      <c r="J1365">
        <v>7.558441050485755</v>
      </c>
      <c r="K1365">
        <v>0</v>
      </c>
      <c r="L1365">
        <v>1.649791722000753</v>
      </c>
      <c r="M1365">
        <v>40.89</v>
      </c>
      <c r="N1365">
        <v>22.3</v>
      </c>
    </row>
    <row r="1366" spans="1:14">
      <c r="A1366" s="1" t="s">
        <v>1378</v>
      </c>
      <c r="B1366">
        <f>HYPERLINK("https://www.suredividend.com/sure-analysis-research-database/","Pactiv Evergreen Inc")</f>
        <v>0</v>
      </c>
      <c r="C1366" t="s">
        <v>1921</v>
      </c>
      <c r="D1366">
        <v>8.99</v>
      </c>
      <c r="E1366">
        <v>0.043860715956676</v>
      </c>
      <c r="H1366">
        <v>0.394307836450523</v>
      </c>
      <c r="I1366">
        <v>1597.828588</v>
      </c>
      <c r="J1366">
        <v>0</v>
      </c>
      <c r="K1366" t="s">
        <v>1921</v>
      </c>
      <c r="L1366">
        <v>0.703836323120673</v>
      </c>
      <c r="M1366">
        <v>14.96</v>
      </c>
      <c r="N1366">
        <v>8.31</v>
      </c>
    </row>
    <row r="1367" spans="1:14">
      <c r="A1367" s="1" t="s">
        <v>1379</v>
      </c>
      <c r="B1367">
        <f>HYPERLINK("https://www.suredividend.com/sure-analysis-research-database/","ProPetro Holding Corp")</f>
        <v>0</v>
      </c>
      <c r="C1367" t="s">
        <v>1926</v>
      </c>
      <c r="D1367">
        <v>9.51</v>
      </c>
      <c r="E1367">
        <v>0</v>
      </c>
      <c r="H1367">
        <v>0</v>
      </c>
      <c r="I1367">
        <v>992.314959</v>
      </c>
      <c r="J1367" t="s">
        <v>1921</v>
      </c>
      <c r="K1367">
        <v>-0</v>
      </c>
      <c r="L1367">
        <v>0.7661865824320691</v>
      </c>
      <c r="M1367">
        <v>16.93</v>
      </c>
      <c r="N1367">
        <v>7.25</v>
      </c>
    </row>
    <row r="1368" spans="1:14">
      <c r="A1368" s="1" t="s">
        <v>1380</v>
      </c>
      <c r="B1368">
        <f>HYPERLINK("https://www.suredividend.com/sure-analysis-research-database/","Provident Bancorp Inc")</f>
        <v>0</v>
      </c>
      <c r="C1368" t="s">
        <v>1923</v>
      </c>
      <c r="D1368">
        <v>14.21</v>
      </c>
      <c r="E1368">
        <v>0.011215879074629</v>
      </c>
      <c r="H1368">
        <v>0.159377641650484</v>
      </c>
      <c r="I1368">
        <v>251.780198</v>
      </c>
      <c r="J1368">
        <v>0</v>
      </c>
      <c r="K1368" t="s">
        <v>1921</v>
      </c>
      <c r="L1368">
        <v>0.501747834406549</v>
      </c>
      <c r="M1368">
        <v>19.99</v>
      </c>
      <c r="N1368">
        <v>14.02</v>
      </c>
    </row>
    <row r="1369" spans="1:14">
      <c r="A1369" s="1" t="s">
        <v>1381</v>
      </c>
      <c r="B1369">
        <f>HYPERLINK("https://www.suredividend.com/sure-analysis-research-database/","PowerSchool Holdings Inc")</f>
        <v>0</v>
      </c>
      <c r="C1369" t="s">
        <v>1921</v>
      </c>
      <c r="D1369">
        <v>16.18</v>
      </c>
      <c r="E1369">
        <v>0</v>
      </c>
      <c r="H1369">
        <v>0</v>
      </c>
      <c r="I1369">
        <v>3210.335074</v>
      </c>
      <c r="J1369">
        <v>0</v>
      </c>
      <c r="K1369" t="s">
        <v>1921</v>
      </c>
      <c r="L1369">
        <v>1.24473237670031</v>
      </c>
      <c r="M1369">
        <v>26.49</v>
      </c>
      <c r="N1369">
        <v>10.6</v>
      </c>
    </row>
    <row r="1370" spans="1:14">
      <c r="A1370" s="1" t="s">
        <v>1382</v>
      </c>
      <c r="B1370">
        <f>HYPERLINK("https://www.suredividend.com/sure-analysis-research-database/","Pyxis Oncology Inc")</f>
        <v>0</v>
      </c>
      <c r="C1370" t="s">
        <v>1921</v>
      </c>
      <c r="D1370">
        <v>1.75</v>
      </c>
      <c r="E1370">
        <v>0</v>
      </c>
      <c r="H1370">
        <v>0</v>
      </c>
      <c r="I1370">
        <v>57.460482</v>
      </c>
      <c r="J1370">
        <v>0</v>
      </c>
      <c r="K1370" t="s">
        <v>1921</v>
      </c>
      <c r="L1370">
        <v>0.806540998860905</v>
      </c>
      <c r="M1370">
        <v>14</v>
      </c>
      <c r="N1370">
        <v>1.69</v>
      </c>
    </row>
    <row r="1371" spans="1:14">
      <c r="A1371" s="1" t="s">
        <v>1383</v>
      </c>
      <c r="B1371">
        <f>HYPERLINK("https://www.suredividend.com/sure-analysis-research-database/","Pzena Investment Management Inc")</f>
        <v>0</v>
      </c>
      <c r="C1371" t="s">
        <v>1923</v>
      </c>
      <c r="D1371">
        <v>9.57</v>
      </c>
      <c r="E1371">
        <v>0.06416771190422001</v>
      </c>
      <c r="F1371">
        <v>0</v>
      </c>
      <c r="G1371">
        <v>0</v>
      </c>
      <c r="H1371">
        <v>0.6140850029233891</v>
      </c>
      <c r="I1371">
        <v>160.167913</v>
      </c>
      <c r="J1371">
        <v>10.51867817889276</v>
      </c>
      <c r="K1371">
        <v>3.430642474432341</v>
      </c>
      <c r="L1371">
        <v>1.180306962622976</v>
      </c>
      <c r="M1371">
        <v>11.07</v>
      </c>
      <c r="N1371">
        <v>6.05</v>
      </c>
    </row>
    <row r="1372" spans="1:14">
      <c r="A1372" s="1" t="s">
        <v>1384</v>
      </c>
      <c r="B1372">
        <f>HYPERLINK("https://www.suredividend.com/sure-analysis-research-database/","Papa John`s International, Inc.")</f>
        <v>0</v>
      </c>
      <c r="C1372" t="s">
        <v>1927</v>
      </c>
      <c r="D1372">
        <v>70.23999999999999</v>
      </c>
      <c r="E1372">
        <v>0.02080145325491</v>
      </c>
      <c r="F1372">
        <v>0.1999999999999997</v>
      </c>
      <c r="G1372">
        <v>0.1329568106011707</v>
      </c>
      <c r="H1372">
        <v>1.461094076624878</v>
      </c>
      <c r="I1372">
        <v>2482.789716</v>
      </c>
      <c r="J1372">
        <v>26.83168759088748</v>
      </c>
      <c r="K1372">
        <v>0.5752338884349913</v>
      </c>
      <c r="L1372">
        <v>0.9791506449369131</v>
      </c>
      <c r="M1372">
        <v>138.65</v>
      </c>
      <c r="N1372">
        <v>66.73999999999999</v>
      </c>
    </row>
    <row r="1373" spans="1:14">
      <c r="A1373" s="1" t="s">
        <v>1385</v>
      </c>
      <c r="B1373">
        <f>HYPERLINK("https://www.suredividend.com/sure-analysis-research-database/","QCR Holding, Inc.")</f>
        <v>0</v>
      </c>
      <c r="C1373" t="s">
        <v>1923</v>
      </c>
      <c r="D1373">
        <v>52.64</v>
      </c>
      <c r="E1373">
        <v>0.004551621183532</v>
      </c>
      <c r="F1373">
        <v>0</v>
      </c>
      <c r="G1373">
        <v>0.03713728933664817</v>
      </c>
      <c r="H1373">
        <v>0.23959733910116</v>
      </c>
      <c r="I1373">
        <v>898.445412</v>
      </c>
      <c r="J1373">
        <v>0</v>
      </c>
      <c r="K1373" t="s">
        <v>1921</v>
      </c>
      <c r="L1373">
        <v>0.625658508569084</v>
      </c>
      <c r="M1373">
        <v>62.78</v>
      </c>
      <c r="N1373">
        <v>50.31</v>
      </c>
    </row>
    <row r="1374" spans="1:14">
      <c r="A1374" s="1" t="s">
        <v>1386</v>
      </c>
      <c r="B1374">
        <f>HYPERLINK("https://www.suredividend.com/sure-analysis-research-database/","Qualys Inc")</f>
        <v>0</v>
      </c>
      <c r="C1374" t="s">
        <v>1920</v>
      </c>
      <c r="D1374">
        <v>131.12</v>
      </c>
      <c r="E1374">
        <v>0</v>
      </c>
      <c r="H1374">
        <v>0</v>
      </c>
      <c r="I1374">
        <v>5030.237461</v>
      </c>
      <c r="J1374">
        <v>49.51216052836726</v>
      </c>
      <c r="K1374">
        <v>0</v>
      </c>
      <c r="L1374">
        <v>1.254609384400872</v>
      </c>
      <c r="M1374">
        <v>162.36</v>
      </c>
      <c r="N1374">
        <v>108.1</v>
      </c>
    </row>
    <row r="1375" spans="1:14">
      <c r="A1375" s="1" t="s">
        <v>1387</v>
      </c>
      <c r="B1375">
        <f>HYPERLINK("https://www.suredividend.com/sure-analysis-research-database/","Quantum Corp")</f>
        <v>0</v>
      </c>
      <c r="C1375" t="s">
        <v>1920</v>
      </c>
      <c r="D1375">
        <v>1.16</v>
      </c>
      <c r="E1375">
        <v>0</v>
      </c>
      <c r="H1375">
        <v>0</v>
      </c>
      <c r="I1375">
        <v>119.094546</v>
      </c>
      <c r="J1375" t="s">
        <v>1921</v>
      </c>
      <c r="K1375">
        <v>-0</v>
      </c>
      <c r="L1375">
        <v>1.626004788463237</v>
      </c>
      <c r="M1375">
        <v>7.45</v>
      </c>
      <c r="N1375">
        <v>1.08</v>
      </c>
    </row>
    <row r="1376" spans="1:14">
      <c r="A1376" s="1" t="s">
        <v>1388</v>
      </c>
      <c r="B1376">
        <f>HYPERLINK("https://www.suredividend.com/sure-analysis-research-database/","QuinStreet Inc")</f>
        <v>0</v>
      </c>
      <c r="C1376" t="s">
        <v>1931</v>
      </c>
      <c r="D1376">
        <v>10.75</v>
      </c>
      <c r="E1376">
        <v>0</v>
      </c>
      <c r="H1376">
        <v>0</v>
      </c>
      <c r="I1376">
        <v>575.64702</v>
      </c>
      <c r="J1376" t="s">
        <v>1921</v>
      </c>
      <c r="K1376">
        <v>-0</v>
      </c>
      <c r="L1376">
        <v>0.8384218115716351</v>
      </c>
      <c r="M1376">
        <v>18.76</v>
      </c>
      <c r="N1376">
        <v>8.279999999999999</v>
      </c>
    </row>
    <row r="1377" spans="1:14">
      <c r="A1377" s="1" t="s">
        <v>1389</v>
      </c>
      <c r="B1377">
        <f>HYPERLINK("https://www.suredividend.com/sure-analysis-research-database/","Quotient Ltd")</f>
        <v>0</v>
      </c>
      <c r="C1377" t="s">
        <v>1922</v>
      </c>
      <c r="D1377">
        <v>0.145</v>
      </c>
      <c r="E1377">
        <v>0</v>
      </c>
      <c r="H1377">
        <v>0</v>
      </c>
      <c r="I1377">
        <v>19.691319</v>
      </c>
      <c r="J1377">
        <v>0</v>
      </c>
      <c r="K1377" t="s">
        <v>1921</v>
      </c>
      <c r="L1377">
        <v>1.14203724074762</v>
      </c>
      <c r="M1377">
        <v>3.07</v>
      </c>
      <c r="N1377">
        <v>0.1407</v>
      </c>
    </row>
    <row r="1378" spans="1:14">
      <c r="A1378" s="1" t="s">
        <v>1390</v>
      </c>
      <c r="B1378">
        <f>HYPERLINK("https://www.suredividend.com/sure-analysis-research-database/","Quanterix Corp")</f>
        <v>0</v>
      </c>
      <c r="C1378" t="s">
        <v>1922</v>
      </c>
      <c r="D1378">
        <v>9.6</v>
      </c>
      <c r="E1378">
        <v>0</v>
      </c>
      <c r="H1378">
        <v>0</v>
      </c>
      <c r="I1378">
        <v>355.080576</v>
      </c>
      <c r="J1378" t="s">
        <v>1921</v>
      </c>
      <c r="K1378">
        <v>-0</v>
      </c>
      <c r="L1378">
        <v>2.117495363859842</v>
      </c>
      <c r="M1378">
        <v>60.92</v>
      </c>
      <c r="N1378">
        <v>6.31</v>
      </c>
    </row>
    <row r="1379" spans="1:14">
      <c r="A1379" s="1" t="s">
        <v>1391</v>
      </c>
      <c r="B1379">
        <f>HYPERLINK("https://www.suredividend.com/sure-analysis-research-database/","Q2 Holdings Inc")</f>
        <v>0</v>
      </c>
      <c r="C1379" t="s">
        <v>1920</v>
      </c>
      <c r="D1379">
        <v>31.96</v>
      </c>
      <c r="E1379">
        <v>0</v>
      </c>
      <c r="H1379">
        <v>0</v>
      </c>
      <c r="I1379">
        <v>1831.718271</v>
      </c>
      <c r="J1379" t="s">
        <v>1921</v>
      </c>
      <c r="K1379">
        <v>-0</v>
      </c>
      <c r="L1379">
        <v>1.74842313116704</v>
      </c>
      <c r="M1379">
        <v>90.84999999999999</v>
      </c>
      <c r="N1379">
        <v>31.32</v>
      </c>
    </row>
    <row r="1380" spans="1:14">
      <c r="A1380" s="1" t="s">
        <v>1392</v>
      </c>
      <c r="B1380">
        <f>HYPERLINK("https://www.suredividend.com/sure-analysis-research-database/","Quotient Technology Inc")</f>
        <v>0</v>
      </c>
      <c r="C1380" t="s">
        <v>1931</v>
      </c>
      <c r="D1380">
        <v>2.23</v>
      </c>
      <c r="E1380">
        <v>0</v>
      </c>
      <c r="H1380">
        <v>0</v>
      </c>
      <c r="I1380">
        <v>214.946444</v>
      </c>
      <c r="J1380" t="s">
        <v>1921</v>
      </c>
      <c r="K1380">
        <v>-0</v>
      </c>
      <c r="L1380">
        <v>1.703493776973162</v>
      </c>
      <c r="M1380">
        <v>7.92</v>
      </c>
      <c r="N1380">
        <v>1.68</v>
      </c>
    </row>
    <row r="1381" spans="1:14">
      <c r="A1381" s="1" t="s">
        <v>1393</v>
      </c>
      <c r="B1381">
        <f>HYPERLINK("https://www.suredividend.com/sure-analysis-research-database/","Rite Aid Corp.")</f>
        <v>0</v>
      </c>
      <c r="C1381" t="s">
        <v>1922</v>
      </c>
      <c r="D1381">
        <v>4.53</v>
      </c>
      <c r="E1381">
        <v>0</v>
      </c>
      <c r="H1381">
        <v>0</v>
      </c>
      <c r="I1381">
        <v>256.105584</v>
      </c>
      <c r="J1381" t="s">
        <v>1921</v>
      </c>
      <c r="K1381">
        <v>-0</v>
      </c>
      <c r="L1381">
        <v>1.853459759912385</v>
      </c>
      <c r="M1381">
        <v>15.65</v>
      </c>
      <c r="N1381">
        <v>4.44</v>
      </c>
    </row>
    <row r="1382" spans="1:14">
      <c r="A1382" s="1" t="s">
        <v>1394</v>
      </c>
      <c r="B1382">
        <f>HYPERLINK("https://www.suredividend.com/sure-analysis-research-database/","Radius Global Infrastructure Inc")</f>
        <v>0</v>
      </c>
      <c r="C1382" t="s">
        <v>1921</v>
      </c>
      <c r="D1382">
        <v>8.699999999999999</v>
      </c>
      <c r="E1382">
        <v>0</v>
      </c>
      <c r="H1382">
        <v>0</v>
      </c>
      <c r="I1382">
        <v>828.909578</v>
      </c>
      <c r="J1382">
        <v>0</v>
      </c>
      <c r="K1382" t="s">
        <v>1921</v>
      </c>
      <c r="L1382">
        <v>1.116772428303675</v>
      </c>
      <c r="M1382">
        <v>18.79</v>
      </c>
      <c r="N1382">
        <v>8.140000000000001</v>
      </c>
    </row>
    <row r="1383" spans="1:14">
      <c r="A1383" s="1" t="s">
        <v>1395</v>
      </c>
      <c r="B1383">
        <f>HYPERLINK("https://www.suredividend.com/sure-analysis-research-database/","Rain Therapeutics Inc")</f>
        <v>0</v>
      </c>
      <c r="C1383" t="s">
        <v>1921</v>
      </c>
      <c r="D1383">
        <v>4.78</v>
      </c>
      <c r="E1383">
        <v>0</v>
      </c>
      <c r="H1383">
        <v>0</v>
      </c>
      <c r="I1383">
        <v>89.87551000000001</v>
      </c>
      <c r="J1383">
        <v>0</v>
      </c>
      <c r="K1383" t="s">
        <v>1921</v>
      </c>
      <c r="L1383">
        <v>1.155908461346558</v>
      </c>
      <c r="M1383">
        <v>17.31</v>
      </c>
      <c r="N1383">
        <v>2.15</v>
      </c>
    </row>
    <row r="1384" spans="1:14">
      <c r="A1384" s="1" t="s">
        <v>1396</v>
      </c>
      <c r="B1384">
        <f>HYPERLINK("https://www.suredividend.com/sure-analysis-research-database/","LiveRamp Holdings Inc")</f>
        <v>0</v>
      </c>
      <c r="C1384" t="s">
        <v>1920</v>
      </c>
      <c r="D1384">
        <v>17.84</v>
      </c>
      <c r="E1384">
        <v>0</v>
      </c>
      <c r="H1384">
        <v>0</v>
      </c>
      <c r="I1384">
        <v>1197.820684</v>
      </c>
      <c r="J1384" t="s">
        <v>1921</v>
      </c>
      <c r="K1384">
        <v>-0</v>
      </c>
      <c r="L1384">
        <v>1.362474476697856</v>
      </c>
      <c r="M1384">
        <v>58.74</v>
      </c>
      <c r="N1384">
        <v>17.73</v>
      </c>
    </row>
    <row r="1385" spans="1:14">
      <c r="A1385" s="1" t="s">
        <v>1397</v>
      </c>
      <c r="B1385">
        <f>HYPERLINK("https://www.suredividend.com/sure-analysis-research-database/","RAPT Therapeutics Inc")</f>
        <v>0</v>
      </c>
      <c r="C1385" t="s">
        <v>1922</v>
      </c>
      <c r="D1385">
        <v>22.57</v>
      </c>
      <c r="E1385">
        <v>0</v>
      </c>
      <c r="H1385">
        <v>0</v>
      </c>
      <c r="I1385">
        <v>669.349823</v>
      </c>
      <c r="J1385">
        <v>0</v>
      </c>
      <c r="K1385" t="s">
        <v>1921</v>
      </c>
      <c r="L1385">
        <v>1.956913903308019</v>
      </c>
      <c r="M1385">
        <v>40.74</v>
      </c>
      <c r="N1385">
        <v>9.859999999999999</v>
      </c>
    </row>
    <row r="1386" spans="1:14">
      <c r="A1386" s="1" t="s">
        <v>1398</v>
      </c>
      <c r="B1386">
        <f>HYPERLINK("https://www.suredividend.com/sure-analysis-research-database/","RBB Bancorp")</f>
        <v>0</v>
      </c>
      <c r="C1386" t="s">
        <v>1923</v>
      </c>
      <c r="D1386">
        <v>20.28</v>
      </c>
      <c r="E1386">
        <v>0.026880308380331</v>
      </c>
      <c r="F1386">
        <v>0.07692307692307709</v>
      </c>
      <c r="G1386">
        <v>0.1184269147201447</v>
      </c>
      <c r="H1386">
        <v>0.545132653953122</v>
      </c>
      <c r="I1386">
        <v>385.732313</v>
      </c>
      <c r="J1386">
        <v>6.320579286229272</v>
      </c>
      <c r="K1386">
        <v>0.1758492432106845</v>
      </c>
      <c r="L1386">
        <v>0.606335338490396</v>
      </c>
      <c r="M1386">
        <v>28.58</v>
      </c>
      <c r="N1386">
        <v>19.38</v>
      </c>
    </row>
    <row r="1387" spans="1:14">
      <c r="A1387" s="1" t="s">
        <v>1399</v>
      </c>
      <c r="B1387">
        <f>HYPERLINK("https://www.suredividend.com/sure-analysis-research-database/","Ribbon Communications Inc")</f>
        <v>0</v>
      </c>
      <c r="C1387" t="s">
        <v>1931</v>
      </c>
      <c r="D1387">
        <v>2.32</v>
      </c>
      <c r="E1387">
        <v>0</v>
      </c>
      <c r="H1387">
        <v>0</v>
      </c>
      <c r="I1387">
        <v>388.673094</v>
      </c>
      <c r="J1387">
        <v>0</v>
      </c>
      <c r="K1387" t="s">
        <v>1921</v>
      </c>
      <c r="L1387">
        <v>1.547008948528935</v>
      </c>
      <c r="M1387">
        <v>6.46</v>
      </c>
      <c r="N1387">
        <v>2.22</v>
      </c>
    </row>
    <row r="1388" spans="1:14">
      <c r="A1388" s="1" t="s">
        <v>1400</v>
      </c>
      <c r="B1388">
        <f>HYPERLINK("https://www.suredividend.com/sure-analysis-research-database/","Republic Bancorp, Inc. (KY)")</f>
        <v>0</v>
      </c>
      <c r="C1388" t="s">
        <v>1923</v>
      </c>
      <c r="D1388">
        <v>39.03</v>
      </c>
      <c r="E1388">
        <v>0.03370747344915601</v>
      </c>
      <c r="F1388">
        <v>0.1071428571428572</v>
      </c>
      <c r="G1388">
        <v>0.09160706958928855</v>
      </c>
      <c r="H1388">
        <v>1.315602688720572</v>
      </c>
      <c r="I1388">
        <v>686.178858</v>
      </c>
      <c r="J1388">
        <v>7.741100147561513</v>
      </c>
      <c r="K1388">
        <v>0.3095535738166052</v>
      </c>
      <c r="L1388">
        <v>0.4575784368414391</v>
      </c>
      <c r="M1388">
        <v>55.96</v>
      </c>
      <c r="N1388">
        <v>38.23</v>
      </c>
    </row>
    <row r="1389" spans="1:14">
      <c r="A1389" s="1" t="s">
        <v>1401</v>
      </c>
      <c r="B1389">
        <f>HYPERLINK("https://www.suredividend.com/sure-analysis-research-database/","Ready Capital Corp")</f>
        <v>0</v>
      </c>
      <c r="C1389" t="s">
        <v>1929</v>
      </c>
      <c r="D1389">
        <v>10.1</v>
      </c>
      <c r="E1389">
        <v>0.157812903565202</v>
      </c>
      <c r="F1389">
        <v>0</v>
      </c>
      <c r="G1389">
        <v>0.02567439351051015</v>
      </c>
      <c r="H1389">
        <v>1.593910326008544</v>
      </c>
      <c r="I1389">
        <v>1155.471179</v>
      </c>
      <c r="J1389">
        <v>5.583820669108693</v>
      </c>
      <c r="K1389">
        <v>0.705270055755993</v>
      </c>
      <c r="L1389">
        <v>0.838261011306155</v>
      </c>
      <c r="M1389">
        <v>14.86</v>
      </c>
      <c r="N1389">
        <v>9.69</v>
      </c>
    </row>
    <row r="1390" spans="1:14">
      <c r="A1390" s="1" t="s">
        <v>1402</v>
      </c>
      <c r="B1390">
        <f>HYPERLINK("https://www.suredividend.com/sure-analysis-research-database/","AVITA Medical Inc")</f>
        <v>0</v>
      </c>
      <c r="C1390" t="s">
        <v>1922</v>
      </c>
      <c r="D1390">
        <v>4.65</v>
      </c>
      <c r="E1390">
        <v>0</v>
      </c>
      <c r="H1390">
        <v>0</v>
      </c>
      <c r="I1390">
        <v>116.264359</v>
      </c>
      <c r="J1390">
        <v>0</v>
      </c>
      <c r="K1390" t="s">
        <v>1921</v>
      </c>
      <c r="L1390">
        <v>1.369604617969821</v>
      </c>
      <c r="M1390">
        <v>19.86</v>
      </c>
      <c r="N1390">
        <v>4.57</v>
      </c>
    </row>
    <row r="1391" spans="1:14">
      <c r="A1391" s="1" t="s">
        <v>1403</v>
      </c>
      <c r="B1391">
        <f>HYPERLINK("https://www.suredividend.com/sure-analysis-research-database/","Rent-a-Center Inc.")</f>
        <v>0</v>
      </c>
      <c r="C1391" t="s">
        <v>1924</v>
      </c>
      <c r="D1391">
        <v>19.02</v>
      </c>
      <c r="E1391">
        <v>0.069640739960347</v>
      </c>
      <c r="H1391">
        <v>1.324566874045815</v>
      </c>
      <c r="I1391">
        <v>1125.964505</v>
      </c>
      <c r="J1391">
        <v>0</v>
      </c>
      <c r="K1391" t="s">
        <v>1921</v>
      </c>
      <c r="L1391">
        <v>1.29122557486098</v>
      </c>
      <c r="M1391">
        <v>55.53</v>
      </c>
      <c r="N1391">
        <v>16.82</v>
      </c>
    </row>
    <row r="1392" spans="1:14">
      <c r="A1392" s="1" t="s">
        <v>1404</v>
      </c>
      <c r="B1392">
        <f>HYPERLINK("https://www.suredividend.com/sure-analysis-research-database/","Rocket Pharmaceuticals Inc")</f>
        <v>0</v>
      </c>
      <c r="C1392" t="s">
        <v>1922</v>
      </c>
      <c r="D1392">
        <v>16.72</v>
      </c>
      <c r="E1392">
        <v>0</v>
      </c>
      <c r="H1392">
        <v>0</v>
      </c>
      <c r="I1392">
        <v>1100.809588</v>
      </c>
      <c r="J1392">
        <v>0</v>
      </c>
      <c r="K1392" t="s">
        <v>1921</v>
      </c>
      <c r="L1392">
        <v>2.1281086253624</v>
      </c>
      <c r="M1392">
        <v>36.87</v>
      </c>
      <c r="N1392">
        <v>7.57</v>
      </c>
    </row>
    <row r="1393" spans="1:14">
      <c r="A1393" s="1" t="s">
        <v>1405</v>
      </c>
      <c r="B1393">
        <f>HYPERLINK("https://www.suredividend.com/sure-analysis-research-database/","Rocky Brands, Inc")</f>
        <v>0</v>
      </c>
      <c r="C1393" t="s">
        <v>1927</v>
      </c>
      <c r="D1393">
        <v>19.76</v>
      </c>
      <c r="E1393">
        <v>0.031209888503491</v>
      </c>
      <c r="F1393">
        <v>0</v>
      </c>
      <c r="G1393">
        <v>0.07099588603959828</v>
      </c>
      <c r="H1393">
        <v>0.616707396828985</v>
      </c>
      <c r="I1393">
        <v>144.506362</v>
      </c>
      <c r="J1393">
        <v>0</v>
      </c>
      <c r="K1393" t="s">
        <v>1921</v>
      </c>
      <c r="L1393">
        <v>1.240759804234372</v>
      </c>
      <c r="M1393">
        <v>56.16</v>
      </c>
      <c r="N1393">
        <v>19.46</v>
      </c>
    </row>
    <row r="1394" spans="1:14">
      <c r="A1394" s="1" t="s">
        <v>1406</v>
      </c>
      <c r="B1394">
        <f>HYPERLINK("https://www.suredividend.com/sure-analysis-research-database/","R1 RCM Inc.")</f>
        <v>0</v>
      </c>
      <c r="C1394" t="s">
        <v>1922</v>
      </c>
      <c r="D1394">
        <v>17.87</v>
      </c>
      <c r="E1394">
        <v>0</v>
      </c>
      <c r="H1394">
        <v>0</v>
      </c>
      <c r="I1394">
        <v>4998.239</v>
      </c>
      <c r="J1394">
        <v>119.922477048871</v>
      </c>
      <c r="K1394">
        <v>0</v>
      </c>
      <c r="M1394">
        <v>27.07</v>
      </c>
      <c r="N1394">
        <v>17.74</v>
      </c>
    </row>
    <row r="1395" spans="1:14">
      <c r="A1395" s="1" t="s">
        <v>1407</v>
      </c>
      <c r="B1395">
        <f>HYPERLINK("https://www.suredividend.com/sure-analysis-research-database/","Arcus Biosciences Inc")</f>
        <v>0</v>
      </c>
      <c r="C1395" t="s">
        <v>1922</v>
      </c>
      <c r="D1395">
        <v>26.15</v>
      </c>
      <c r="E1395">
        <v>0</v>
      </c>
      <c r="H1395">
        <v>0</v>
      </c>
      <c r="I1395">
        <v>1886.983006</v>
      </c>
      <c r="J1395">
        <v>0</v>
      </c>
      <c r="K1395" t="s">
        <v>1921</v>
      </c>
      <c r="L1395">
        <v>1.562580543885763</v>
      </c>
      <c r="M1395">
        <v>49.1</v>
      </c>
      <c r="N1395">
        <v>16.74</v>
      </c>
    </row>
    <row r="1396" spans="1:14">
      <c r="A1396" s="1" t="s">
        <v>1408</v>
      </c>
      <c r="B1396">
        <f>HYPERLINK("https://www.suredividend.com/sure-analysis-research-database/","Redfin Corp")</f>
        <v>0</v>
      </c>
      <c r="C1396" t="s">
        <v>1929</v>
      </c>
      <c r="D1396">
        <v>4.82</v>
      </c>
      <c r="E1396">
        <v>0</v>
      </c>
      <c r="H1396">
        <v>0</v>
      </c>
      <c r="I1396">
        <v>522.751967</v>
      </c>
      <c r="J1396" t="s">
        <v>1921</v>
      </c>
      <c r="K1396">
        <v>-0</v>
      </c>
      <c r="L1396">
        <v>2.300433051455668</v>
      </c>
      <c r="M1396">
        <v>53.94</v>
      </c>
      <c r="N1396">
        <v>4.81</v>
      </c>
    </row>
    <row r="1397" spans="1:14">
      <c r="A1397" s="1" t="s">
        <v>1409</v>
      </c>
      <c r="B1397">
        <f>HYPERLINK("https://www.suredividend.com/sure-analysis-research-database/","Radian Group, Inc.")</f>
        <v>0</v>
      </c>
      <c r="C1397" t="s">
        <v>1923</v>
      </c>
      <c r="D1397">
        <v>19.13</v>
      </c>
      <c r="E1397">
        <v>0.038215476090188</v>
      </c>
      <c r="F1397">
        <v>0.4285714285714286</v>
      </c>
      <c r="G1397">
        <v>1.402248867962863</v>
      </c>
      <c r="H1397">
        <v>0.7310620576053061</v>
      </c>
      <c r="I1397">
        <v>3091.646207</v>
      </c>
      <c r="J1397">
        <v>4.402919199978353</v>
      </c>
      <c r="K1397">
        <v>0.1889049244458155</v>
      </c>
      <c r="L1397">
        <v>0.735004636683612</v>
      </c>
      <c r="M1397">
        <v>24.4</v>
      </c>
      <c r="N1397">
        <v>17.82</v>
      </c>
    </row>
    <row r="1398" spans="1:14">
      <c r="A1398" s="1" t="s">
        <v>1410</v>
      </c>
      <c r="B1398">
        <f>HYPERLINK("https://www.suredividend.com/sure-analysis-research-database/","Radnet Inc")</f>
        <v>0</v>
      </c>
      <c r="C1398" t="s">
        <v>1922</v>
      </c>
      <c r="D1398">
        <v>18.63</v>
      </c>
      <c r="E1398">
        <v>0</v>
      </c>
      <c r="H1398">
        <v>0</v>
      </c>
      <c r="I1398">
        <v>1047.368782</v>
      </c>
      <c r="J1398">
        <v>44.92445663506906</v>
      </c>
      <c r="K1398">
        <v>0</v>
      </c>
      <c r="L1398">
        <v>1.353433974802228</v>
      </c>
      <c r="M1398">
        <v>34.69</v>
      </c>
      <c r="N1398">
        <v>16.44</v>
      </c>
    </row>
    <row r="1399" spans="1:14">
      <c r="A1399" s="1" t="s">
        <v>1411</v>
      </c>
      <c r="B1399">
        <f>HYPERLINK("https://www.suredividend.com/sure-analysis-research-database/","Radius Health Inc.")</f>
        <v>0</v>
      </c>
      <c r="C1399" t="s">
        <v>1922</v>
      </c>
      <c r="D1399">
        <v>10.08</v>
      </c>
      <c r="E1399">
        <v>0</v>
      </c>
      <c r="H1399">
        <v>0</v>
      </c>
      <c r="I1399">
        <v>0</v>
      </c>
      <c r="J1399">
        <v>0</v>
      </c>
      <c r="K1399">
        <v>-0</v>
      </c>
    </row>
    <row r="1400" spans="1:14">
      <c r="A1400" s="1" t="s">
        <v>1412</v>
      </c>
      <c r="B1400">
        <f>HYPERLINK("https://www.suredividend.com/sure-analysis-research-database/","Therealreal Inc")</f>
        <v>0</v>
      </c>
      <c r="C1400" t="s">
        <v>1927</v>
      </c>
      <c r="D1400">
        <v>1.35</v>
      </c>
      <c r="E1400">
        <v>0</v>
      </c>
      <c r="H1400">
        <v>0</v>
      </c>
      <c r="I1400">
        <v>128.974997</v>
      </c>
      <c r="J1400" t="s">
        <v>1921</v>
      </c>
      <c r="K1400">
        <v>-0</v>
      </c>
      <c r="L1400">
        <v>3.214498837213575</v>
      </c>
      <c r="M1400">
        <v>17.09</v>
      </c>
      <c r="N1400">
        <v>1.34</v>
      </c>
    </row>
    <row r="1401" spans="1:14">
      <c r="A1401" s="1" t="s">
        <v>1413</v>
      </c>
      <c r="B1401">
        <f>HYPERLINK("https://www.suredividend.com/sure-analysis-research-database/","Chicago Atlantic Real Estate Finance Inc")</f>
        <v>0</v>
      </c>
      <c r="C1401" t="s">
        <v>1921</v>
      </c>
      <c r="D1401">
        <v>14.56</v>
      </c>
      <c r="E1401">
        <v>0.10580724456708</v>
      </c>
      <c r="H1401">
        <v>1.540553480896688</v>
      </c>
      <c r="I1401">
        <v>257.099213</v>
      </c>
      <c r="J1401">
        <v>0</v>
      </c>
      <c r="K1401" t="s">
        <v>1921</v>
      </c>
      <c r="M1401">
        <v>18.67</v>
      </c>
      <c r="N1401">
        <v>13.44</v>
      </c>
    </row>
    <row r="1402" spans="1:14">
      <c r="A1402" s="1" t="s">
        <v>1414</v>
      </c>
      <c r="B1402">
        <f>HYPERLINK("https://www.suredividend.com/sure-analysis-research-database/","Renewable Energy Group Inc")</f>
        <v>0</v>
      </c>
      <c r="C1402" t="s">
        <v>1926</v>
      </c>
      <c r="D1402">
        <v>61.5</v>
      </c>
      <c r="E1402">
        <v>0</v>
      </c>
      <c r="H1402">
        <v>0</v>
      </c>
      <c r="I1402">
        <v>0</v>
      </c>
      <c r="J1402">
        <v>0</v>
      </c>
      <c r="K1402">
        <v>0</v>
      </c>
    </row>
    <row r="1403" spans="1:14">
      <c r="A1403" s="1" t="s">
        <v>1415</v>
      </c>
      <c r="B1403">
        <f>HYPERLINK("https://www.suredividend.com/sure-analysis-research-database/","Rekor Systems Inc")</f>
        <v>0</v>
      </c>
      <c r="C1403" t="s">
        <v>1924</v>
      </c>
      <c r="D1403">
        <v>1.06</v>
      </c>
      <c r="E1403">
        <v>0</v>
      </c>
      <c r="H1403">
        <v>0</v>
      </c>
      <c r="I1403">
        <v>56.805195</v>
      </c>
      <c r="J1403">
        <v>0</v>
      </c>
      <c r="K1403" t="s">
        <v>1921</v>
      </c>
      <c r="L1403">
        <v>2.040906629301345</v>
      </c>
      <c r="M1403">
        <v>14.24</v>
      </c>
      <c r="N1403">
        <v>0.8515</v>
      </c>
    </row>
    <row r="1404" spans="1:14">
      <c r="A1404" s="1" t="s">
        <v>1416</v>
      </c>
      <c r="B1404">
        <f>HYPERLINK("https://www.suredividend.com/sure-analysis-research-database/","Remitly Global Inc")</f>
        <v>0</v>
      </c>
      <c r="C1404" t="s">
        <v>1921</v>
      </c>
      <c r="D1404">
        <v>11.07</v>
      </c>
      <c r="E1404">
        <v>0</v>
      </c>
      <c r="H1404">
        <v>0</v>
      </c>
      <c r="I1404">
        <v>1860.200033</v>
      </c>
      <c r="J1404">
        <v>0</v>
      </c>
      <c r="K1404" t="s">
        <v>1921</v>
      </c>
      <c r="L1404">
        <v>1.597954211966674</v>
      </c>
      <c r="M1404">
        <v>41.4</v>
      </c>
      <c r="N1404">
        <v>6.66</v>
      </c>
    </row>
    <row r="1405" spans="1:14">
      <c r="A1405" s="1" t="s">
        <v>1417</v>
      </c>
      <c r="B1405">
        <f>HYPERLINK("https://www.suredividend.com/sure-analysis-research-database/","Rent the Runway Inc")</f>
        <v>0</v>
      </c>
      <c r="C1405" t="s">
        <v>1921</v>
      </c>
      <c r="D1405">
        <v>2.17</v>
      </c>
      <c r="E1405">
        <v>0</v>
      </c>
      <c r="H1405">
        <v>0</v>
      </c>
      <c r="I1405">
        <v>133.77529</v>
      </c>
      <c r="J1405">
        <v>0</v>
      </c>
      <c r="K1405" t="s">
        <v>1921</v>
      </c>
      <c r="M1405">
        <v>24.77</v>
      </c>
      <c r="N1405">
        <v>2.1</v>
      </c>
    </row>
    <row r="1406" spans="1:14">
      <c r="A1406" s="1" t="s">
        <v>1418</v>
      </c>
      <c r="B1406">
        <f>HYPERLINK("https://www.suredividend.com/sure-analysis-research-database/","Replimune Group Inc")</f>
        <v>0</v>
      </c>
      <c r="C1406" t="s">
        <v>1922</v>
      </c>
      <c r="D1406">
        <v>17.09</v>
      </c>
      <c r="E1406">
        <v>0</v>
      </c>
      <c r="H1406">
        <v>0</v>
      </c>
      <c r="I1406">
        <v>842.6520839999999</v>
      </c>
      <c r="J1406">
        <v>0</v>
      </c>
      <c r="K1406" t="s">
        <v>1921</v>
      </c>
      <c r="L1406">
        <v>1.281863281287317</v>
      </c>
      <c r="M1406">
        <v>35.93</v>
      </c>
      <c r="N1406">
        <v>13.05</v>
      </c>
    </row>
    <row r="1407" spans="1:14">
      <c r="A1407" s="1" t="s">
        <v>1419</v>
      </c>
      <c r="B1407">
        <f>HYPERLINK("https://www.suredividend.com/sure-analysis-research-database/","Riley Exploration Permian Inc.")</f>
        <v>0</v>
      </c>
      <c r="C1407" t="s">
        <v>1921</v>
      </c>
      <c r="D1407">
        <v>22.59</v>
      </c>
      <c r="E1407">
        <v>0.053916536360458</v>
      </c>
      <c r="H1407">
        <v>1.217974556382759</v>
      </c>
      <c r="I1407">
        <v>448.78733</v>
      </c>
      <c r="J1407">
        <v>0</v>
      </c>
      <c r="K1407" t="s">
        <v>1921</v>
      </c>
      <c r="L1407">
        <v>1.269387560278689</v>
      </c>
      <c r="M1407">
        <v>35.16</v>
      </c>
      <c r="N1407">
        <v>14.96</v>
      </c>
    </row>
    <row r="1408" spans="1:14">
      <c r="A1408" s="1" t="s">
        <v>1420</v>
      </c>
      <c r="B1408">
        <f>HYPERLINK("https://www.suredividend.com/sure-analysis-research-database/","RPC, Inc.")</f>
        <v>0</v>
      </c>
      <c r="C1408" t="s">
        <v>1926</v>
      </c>
      <c r="D1408">
        <v>7.85</v>
      </c>
      <c r="E1408">
        <v>0.002547770643689</v>
      </c>
      <c r="H1408">
        <v>0.019999999552965</v>
      </c>
      <c r="I1408">
        <v>1700.794792</v>
      </c>
      <c r="J1408">
        <v>21.38449961588755</v>
      </c>
      <c r="K1408">
        <v>0.05360493045554811</v>
      </c>
      <c r="L1408">
        <v>0.845501797984299</v>
      </c>
      <c r="M1408">
        <v>12.87</v>
      </c>
      <c r="N1408">
        <v>3.81</v>
      </c>
    </row>
    <row r="1409" spans="1:14">
      <c r="A1409" s="1" t="s">
        <v>1421</v>
      </c>
      <c r="B1409">
        <f>HYPERLINK("https://www.suredividend.com/sure-analysis-research-database/","Reata Pharmaceuticals Inc")</f>
        <v>0</v>
      </c>
      <c r="C1409" t="s">
        <v>1922</v>
      </c>
      <c r="D1409">
        <v>22.15</v>
      </c>
      <c r="E1409">
        <v>0</v>
      </c>
      <c r="H1409">
        <v>0</v>
      </c>
      <c r="I1409">
        <v>699.568124</v>
      </c>
      <c r="J1409" t="s">
        <v>1921</v>
      </c>
      <c r="K1409">
        <v>-0</v>
      </c>
      <c r="M1409">
        <v>114.8</v>
      </c>
      <c r="N1409">
        <v>18.47</v>
      </c>
    </row>
    <row r="1410" spans="1:14">
      <c r="A1410" s="1" t="s">
        <v>1422</v>
      </c>
      <c r="B1410">
        <f>HYPERLINK("https://www.suredividend.com/sure-analysis-research-database/","Revlon, Inc.")</f>
        <v>0</v>
      </c>
      <c r="C1410" t="s">
        <v>1928</v>
      </c>
      <c r="D1410">
        <v>4.34</v>
      </c>
      <c r="E1410">
        <v>0</v>
      </c>
      <c r="H1410">
        <v>0</v>
      </c>
      <c r="I1410">
        <v>235.582365</v>
      </c>
      <c r="J1410" t="s">
        <v>1921</v>
      </c>
      <c r="K1410">
        <v>-0</v>
      </c>
      <c r="L1410">
        <v>2.105655794648314</v>
      </c>
      <c r="M1410">
        <v>17.65</v>
      </c>
      <c r="N1410">
        <v>1.08</v>
      </c>
    </row>
    <row r="1411" spans="1:14">
      <c r="A1411" s="1" t="s">
        <v>1423</v>
      </c>
      <c r="B1411">
        <f>HYPERLINK("https://www.suredividend.com/sure-analysis-research-database/","REV Group Inc")</f>
        <v>0</v>
      </c>
      <c r="C1411" t="s">
        <v>1924</v>
      </c>
      <c r="D1411">
        <v>11.68</v>
      </c>
      <c r="E1411">
        <v>0.01701501561141</v>
      </c>
      <c r="H1411">
        <v>0.198735382341269</v>
      </c>
      <c r="I1411">
        <v>692.898877</v>
      </c>
      <c r="J1411" t="s">
        <v>1921</v>
      </c>
      <c r="K1411" t="s">
        <v>1921</v>
      </c>
      <c r="L1411">
        <v>0.9658794313015551</v>
      </c>
      <c r="M1411">
        <v>17.83</v>
      </c>
      <c r="N1411">
        <v>9.42</v>
      </c>
    </row>
    <row r="1412" spans="1:14">
      <c r="A1412" s="1" t="s">
        <v>1424</v>
      </c>
      <c r="B1412">
        <f>HYPERLINK("https://www.suredividend.com/sure-analysis-research-database/","REX American Resources Corp")</f>
        <v>0</v>
      </c>
      <c r="C1412" t="s">
        <v>1926</v>
      </c>
      <c r="D1412">
        <v>28.45</v>
      </c>
      <c r="E1412">
        <v>0</v>
      </c>
      <c r="H1412">
        <v>0</v>
      </c>
      <c r="I1412">
        <v>501.859195</v>
      </c>
      <c r="J1412">
        <v>9.459046948507236</v>
      </c>
      <c r="K1412">
        <v>0</v>
      </c>
      <c r="L1412">
        <v>0.8368260445628241</v>
      </c>
      <c r="M1412">
        <v>37.81</v>
      </c>
      <c r="N1412">
        <v>26.23</v>
      </c>
    </row>
    <row r="1413" spans="1:14">
      <c r="A1413" s="1" t="s">
        <v>1425</v>
      </c>
      <c r="B1413">
        <f>HYPERLINK("https://www.suredividend.com/sure-analysis-research-database/","Resideo Technologies Inc")</f>
        <v>0</v>
      </c>
      <c r="C1413" t="s">
        <v>1924</v>
      </c>
      <c r="D1413">
        <v>21.55</v>
      </c>
      <c r="E1413">
        <v>0</v>
      </c>
      <c r="H1413">
        <v>0</v>
      </c>
      <c r="I1413">
        <v>3139.551402</v>
      </c>
      <c r="J1413">
        <v>9.935289246835442</v>
      </c>
      <c r="K1413">
        <v>0</v>
      </c>
      <c r="L1413">
        <v>1.383332732783186</v>
      </c>
      <c r="M1413">
        <v>28.35</v>
      </c>
      <c r="N1413">
        <v>18.36</v>
      </c>
    </row>
    <row r="1414" spans="1:14">
      <c r="A1414" s="1" t="s">
        <v>1426</v>
      </c>
      <c r="B1414">
        <f>HYPERLINK("https://www.suredividend.com/sure-analysis-research-database/","Rafael Holdings Inc")</f>
        <v>0</v>
      </c>
      <c r="C1414" t="s">
        <v>1922</v>
      </c>
      <c r="D1414">
        <v>1.73</v>
      </c>
      <c r="E1414">
        <v>0</v>
      </c>
      <c r="H1414">
        <v>0</v>
      </c>
      <c r="I1414">
        <v>34.628394</v>
      </c>
      <c r="J1414">
        <v>0</v>
      </c>
      <c r="K1414" t="s">
        <v>1921</v>
      </c>
      <c r="L1414">
        <v>1.210049933273125</v>
      </c>
      <c r="M1414">
        <v>32.75</v>
      </c>
      <c r="N1414">
        <v>1.6</v>
      </c>
    </row>
    <row r="1415" spans="1:14">
      <c r="A1415" s="1" t="s">
        <v>1427</v>
      </c>
      <c r="B1415">
        <f>HYPERLINK("https://www.suredividend.com/sure-analysis-research-database/","Regenxbio Inc")</f>
        <v>0</v>
      </c>
      <c r="C1415" t="s">
        <v>1922</v>
      </c>
      <c r="D1415">
        <v>21.98</v>
      </c>
      <c r="E1415">
        <v>0</v>
      </c>
      <c r="H1415">
        <v>0</v>
      </c>
      <c r="I1415">
        <v>950.194763</v>
      </c>
      <c r="J1415">
        <v>10.47438999272455</v>
      </c>
      <c r="K1415">
        <v>0</v>
      </c>
      <c r="L1415">
        <v>1.341474463009793</v>
      </c>
      <c r="M1415">
        <v>40.59</v>
      </c>
      <c r="N1415">
        <v>18.69</v>
      </c>
    </row>
    <row r="1416" spans="1:14">
      <c r="A1416" s="1" t="s">
        <v>1428</v>
      </c>
      <c r="B1416">
        <f>HYPERLINK("https://www.suredividend.com/sure-analysis-research-database/","Resources Connection Inc")</f>
        <v>0</v>
      </c>
      <c r="C1416" t="s">
        <v>1924</v>
      </c>
      <c r="D1416">
        <v>16.32</v>
      </c>
      <c r="E1416">
        <v>0.033928939098036</v>
      </c>
      <c r="F1416">
        <v>0</v>
      </c>
      <c r="G1416">
        <v>0.03131030647754507</v>
      </c>
      <c r="H1416">
        <v>0.553720286079963</v>
      </c>
      <c r="I1416">
        <v>550.8140519999999</v>
      </c>
      <c r="J1416">
        <v>7.608769636423914</v>
      </c>
      <c r="K1416">
        <v>0.2587477972336276</v>
      </c>
      <c r="L1416">
        <v>0.8800907690627271</v>
      </c>
      <c r="M1416">
        <v>23.03</v>
      </c>
      <c r="N1416">
        <v>15.55</v>
      </c>
    </row>
    <row r="1417" spans="1:14">
      <c r="A1417" s="1" t="s">
        <v>1429</v>
      </c>
      <c r="B1417">
        <f>HYPERLINK("https://www.suredividend.com/sure-analysis-research-database/","Sturm, Ruger &amp; Co., Inc.")</f>
        <v>0</v>
      </c>
      <c r="C1417" t="s">
        <v>1924</v>
      </c>
      <c r="D1417">
        <v>52.7</v>
      </c>
      <c r="E1417">
        <v>0.05227605254396001</v>
      </c>
      <c r="F1417">
        <v>-0.53</v>
      </c>
      <c r="G1417">
        <v>0.1536498246073117</v>
      </c>
      <c r="H1417">
        <v>2.7549479690667</v>
      </c>
      <c r="I1417">
        <v>929.2814980000001</v>
      </c>
      <c r="J1417">
        <v>7.475396562680996</v>
      </c>
      <c r="K1417">
        <v>0.3941270342012447</v>
      </c>
      <c r="L1417">
        <v>0.604326754193204</v>
      </c>
      <c r="M1417">
        <v>78.39</v>
      </c>
      <c r="N1417">
        <v>49.65</v>
      </c>
    </row>
    <row r="1418" spans="1:14">
      <c r="A1418" s="1" t="s">
        <v>1430</v>
      </c>
      <c r="B1418">
        <f>HYPERLINK("https://www.suredividend.com/sure-analysis-research-database/","Regis Corp.")</f>
        <v>0</v>
      </c>
      <c r="C1418" t="s">
        <v>1927</v>
      </c>
      <c r="D1418">
        <v>1.01</v>
      </c>
      <c r="E1418">
        <v>0</v>
      </c>
      <c r="H1418">
        <v>0</v>
      </c>
      <c r="I1418">
        <v>45.971101</v>
      </c>
      <c r="J1418" t="s">
        <v>1921</v>
      </c>
      <c r="K1418">
        <v>-0</v>
      </c>
      <c r="L1418">
        <v>0.9044929077202121</v>
      </c>
      <c r="M1418">
        <v>3.75</v>
      </c>
      <c r="N1418">
        <v>0.5</v>
      </c>
    </row>
    <row r="1419" spans="1:14">
      <c r="A1419" s="1" t="s">
        <v>1431</v>
      </c>
      <c r="B1419">
        <f>HYPERLINK("https://www.suredividend.com/sure-analysis-research-database/","Ryman Hospitality Properties Inc")</f>
        <v>0</v>
      </c>
      <c r="C1419" t="s">
        <v>1929</v>
      </c>
      <c r="D1419">
        <v>77.03</v>
      </c>
      <c r="E1419">
        <v>0.001298195527588</v>
      </c>
      <c r="H1419">
        <v>0.100000001490116</v>
      </c>
      <c r="I1419">
        <v>4247.885596</v>
      </c>
      <c r="J1419">
        <v>381.420992708988</v>
      </c>
      <c r="K1419">
        <v>0.496277923027871</v>
      </c>
      <c r="L1419">
        <v>1.278226828377525</v>
      </c>
      <c r="M1419">
        <v>101.06</v>
      </c>
      <c r="N1419">
        <v>70.37</v>
      </c>
    </row>
    <row r="1420" spans="1:14">
      <c r="A1420" s="1" t="s">
        <v>1432</v>
      </c>
      <c r="B1420">
        <f>HYPERLINK("https://www.suredividend.com/sure-analysis-research-database/","RCI Hospitality Holdings Inc")</f>
        <v>0</v>
      </c>
      <c r="C1420" t="s">
        <v>1927</v>
      </c>
      <c r="D1420">
        <v>67.62</v>
      </c>
      <c r="E1420">
        <v>0.002806439374631</v>
      </c>
      <c r="F1420">
        <v>0.25</v>
      </c>
      <c r="G1420">
        <v>0.1075663432482901</v>
      </c>
      <c r="H1420">
        <v>0.189771430512611</v>
      </c>
      <c r="I1420">
        <v>628.209951</v>
      </c>
      <c r="J1420">
        <v>16.65058577645843</v>
      </c>
      <c r="K1420">
        <v>0.04685714333644717</v>
      </c>
      <c r="L1420">
        <v>1.391894173825041</v>
      </c>
      <c r="M1420">
        <v>94.08</v>
      </c>
      <c r="N1420">
        <v>46.45</v>
      </c>
    </row>
    <row r="1421" spans="1:14">
      <c r="A1421" s="1" t="s">
        <v>1433</v>
      </c>
      <c r="B1421">
        <f>HYPERLINK("https://www.suredividend.com/sure-analysis-research-database/","Lordstown Motors Corp.")</f>
        <v>0</v>
      </c>
      <c r="C1421" t="s">
        <v>1921</v>
      </c>
      <c r="D1421">
        <v>1.58</v>
      </c>
      <c r="E1421">
        <v>0</v>
      </c>
      <c r="H1421">
        <v>0</v>
      </c>
      <c r="I1421">
        <v>325.277066</v>
      </c>
      <c r="J1421">
        <v>0</v>
      </c>
      <c r="K1421" t="s">
        <v>1921</v>
      </c>
      <c r="L1421">
        <v>1.957209528051151</v>
      </c>
      <c r="M1421">
        <v>7.19</v>
      </c>
      <c r="N1421">
        <v>1.49</v>
      </c>
    </row>
    <row r="1422" spans="1:14">
      <c r="A1422" s="1" t="s">
        <v>1434</v>
      </c>
      <c r="B1422">
        <f>HYPERLINK("https://www.suredividend.com/sure-analysis-research-database/","Rigel Pharmaceuticals")</f>
        <v>0</v>
      </c>
      <c r="C1422" t="s">
        <v>1922</v>
      </c>
      <c r="D1422">
        <v>1.14</v>
      </c>
      <c r="E1422">
        <v>0</v>
      </c>
      <c r="H1422">
        <v>0</v>
      </c>
      <c r="I1422">
        <v>197.033423</v>
      </c>
      <c r="J1422" t="s">
        <v>1921</v>
      </c>
      <c r="K1422">
        <v>-0</v>
      </c>
      <c r="L1422">
        <v>1.452355837779948</v>
      </c>
      <c r="M1422">
        <v>3.6</v>
      </c>
      <c r="N1422">
        <v>0.64</v>
      </c>
    </row>
    <row r="1423" spans="1:14">
      <c r="A1423" s="1" t="s">
        <v>1435</v>
      </c>
      <c r="B1423">
        <f>HYPERLINK("https://www.suredividend.com/sure-analysis-research-database/","B. Riley Financial Inc")</f>
        <v>0</v>
      </c>
      <c r="C1423" t="s">
        <v>1923</v>
      </c>
      <c r="D1423">
        <v>44.23</v>
      </c>
      <c r="E1423">
        <v>0.087971378261697</v>
      </c>
      <c r="F1423">
        <v>0</v>
      </c>
      <c r="G1423">
        <v>0.2520547720070587</v>
      </c>
      <c r="H1423">
        <v>3.890974060514889</v>
      </c>
      <c r="I1423">
        <v>1251.286957</v>
      </c>
      <c r="J1423">
        <v>0</v>
      </c>
      <c r="K1423" t="s">
        <v>1921</v>
      </c>
      <c r="L1423">
        <v>1.51239840624625</v>
      </c>
      <c r="M1423">
        <v>86.39</v>
      </c>
      <c r="N1423">
        <v>40.46</v>
      </c>
    </row>
    <row r="1424" spans="1:14">
      <c r="A1424" s="1" t="s">
        <v>1436</v>
      </c>
      <c r="B1424">
        <f>HYPERLINK("https://www.suredividend.com/sure-analysis-research-database/","Riot Blockchain Inc")</f>
        <v>0</v>
      </c>
      <c r="C1424" t="s">
        <v>1920</v>
      </c>
      <c r="D1424">
        <v>6.39</v>
      </c>
      <c r="E1424">
        <v>0</v>
      </c>
      <c r="H1424">
        <v>0</v>
      </c>
      <c r="I1424">
        <v>1068.002995</v>
      </c>
      <c r="J1424">
        <v>0</v>
      </c>
      <c r="K1424" t="s">
        <v>1921</v>
      </c>
      <c r="L1424">
        <v>2.90229642266194</v>
      </c>
      <c r="M1424">
        <v>46.28</v>
      </c>
      <c r="N1424">
        <v>4.02</v>
      </c>
    </row>
    <row r="1425" spans="1:14">
      <c r="A1425" s="1" t="s">
        <v>1437</v>
      </c>
      <c r="B1425">
        <f>HYPERLINK("https://www.suredividend.com/sure-analysis-research-database/","Relay Therapeutics Inc")</f>
        <v>0</v>
      </c>
      <c r="C1425" t="s">
        <v>1921</v>
      </c>
      <c r="D1425">
        <v>21.94</v>
      </c>
      <c r="E1425">
        <v>0</v>
      </c>
      <c r="H1425">
        <v>0</v>
      </c>
      <c r="I1425">
        <v>2389.223941</v>
      </c>
      <c r="J1425">
        <v>0</v>
      </c>
      <c r="K1425" t="s">
        <v>1921</v>
      </c>
      <c r="L1425">
        <v>2.053139152642799</v>
      </c>
      <c r="M1425">
        <v>37.67</v>
      </c>
      <c r="N1425">
        <v>12.65</v>
      </c>
    </row>
    <row r="1426" spans="1:14">
      <c r="A1426" s="1" t="s">
        <v>1438</v>
      </c>
      <c r="B1426">
        <f>HYPERLINK("https://www.suredividend.com/sure-analysis-research-database/","Radiant Logistics, Inc.")</f>
        <v>0</v>
      </c>
      <c r="C1426" t="s">
        <v>1924</v>
      </c>
      <c r="D1426">
        <v>5.68</v>
      </c>
      <c r="E1426">
        <v>0</v>
      </c>
      <c r="H1426">
        <v>0</v>
      </c>
      <c r="I1426">
        <v>280.837972</v>
      </c>
      <c r="J1426">
        <v>0</v>
      </c>
      <c r="K1426" t="s">
        <v>1921</v>
      </c>
      <c r="L1426">
        <v>1.07476640058256</v>
      </c>
      <c r="M1426">
        <v>8.74</v>
      </c>
      <c r="N1426">
        <v>5.47</v>
      </c>
    </row>
    <row r="1427" spans="1:14">
      <c r="A1427" s="1" t="s">
        <v>1439</v>
      </c>
      <c r="B1427">
        <f>HYPERLINK("https://www.suredividend.com/sure-analysis-RLI/","RLI Corp.")</f>
        <v>0</v>
      </c>
      <c r="C1427" t="s">
        <v>1923</v>
      </c>
      <c r="D1427">
        <v>104.79</v>
      </c>
      <c r="E1427">
        <v>0.009924611127015936</v>
      </c>
      <c r="F1427">
        <v>0.04000000000000004</v>
      </c>
      <c r="G1427">
        <v>-0.2361735914659768</v>
      </c>
      <c r="H1427">
        <v>1.016530656967086</v>
      </c>
      <c r="I1427">
        <v>4754.196971</v>
      </c>
      <c r="J1427">
        <v>27.93119699173379</v>
      </c>
      <c r="K1427">
        <v>0.2725283262646343</v>
      </c>
      <c r="L1427">
        <v>0.439973528598272</v>
      </c>
      <c r="M1427">
        <v>121.65</v>
      </c>
      <c r="N1427">
        <v>95.55</v>
      </c>
    </row>
    <row r="1428" spans="1:14">
      <c r="A1428" s="1" t="s">
        <v>1440</v>
      </c>
      <c r="B1428">
        <f>HYPERLINK("https://www.suredividend.com/sure-analysis-RLJ/","RLJ Lodging Trust")</f>
        <v>0</v>
      </c>
      <c r="C1428" t="s">
        <v>1929</v>
      </c>
      <c r="D1428">
        <v>10.29</v>
      </c>
      <c r="E1428">
        <v>0.007758501297103</v>
      </c>
      <c r="F1428">
        <v>4</v>
      </c>
      <c r="G1428">
        <v>-0.3143677884581088</v>
      </c>
      <c r="H1428">
        <v>0.07983497834719501</v>
      </c>
      <c r="I1428">
        <v>1674.691779</v>
      </c>
      <c r="J1428" t="s">
        <v>1921</v>
      </c>
      <c r="K1428" t="s">
        <v>1921</v>
      </c>
      <c r="L1428">
        <v>1.247275492593029</v>
      </c>
      <c r="M1428">
        <v>16.11</v>
      </c>
      <c r="N1428">
        <v>9.84</v>
      </c>
    </row>
    <row r="1429" spans="1:14">
      <c r="A1429" s="1" t="s">
        <v>1441</v>
      </c>
      <c r="B1429">
        <f>HYPERLINK("https://www.suredividend.com/sure-analysis-research-database/","Relmada Therapeutics Inc")</f>
        <v>0</v>
      </c>
      <c r="C1429" t="s">
        <v>1922</v>
      </c>
      <c r="D1429">
        <v>33.84</v>
      </c>
      <c r="E1429">
        <v>0</v>
      </c>
      <c r="H1429">
        <v>0</v>
      </c>
      <c r="I1429">
        <v>1017.247929</v>
      </c>
      <c r="J1429">
        <v>0</v>
      </c>
      <c r="K1429" t="s">
        <v>1921</v>
      </c>
      <c r="L1429">
        <v>0.8370616962344021</v>
      </c>
      <c r="M1429">
        <v>38.68</v>
      </c>
      <c r="N1429">
        <v>15.74</v>
      </c>
    </row>
    <row r="1430" spans="1:14">
      <c r="A1430" s="1" t="s">
        <v>1442</v>
      </c>
      <c r="B1430">
        <f>HYPERLINK("https://www.suredividend.com/sure-analysis-research-database/","Rallybio Corp")</f>
        <v>0</v>
      </c>
      <c r="C1430" t="s">
        <v>1921</v>
      </c>
      <c r="D1430">
        <v>10.39</v>
      </c>
      <c r="E1430">
        <v>0</v>
      </c>
      <c r="H1430">
        <v>0</v>
      </c>
      <c r="I1430">
        <v>333.851168</v>
      </c>
      <c r="J1430">
        <v>0</v>
      </c>
      <c r="K1430" t="s">
        <v>1921</v>
      </c>
      <c r="L1430">
        <v>1.284464949852516</v>
      </c>
      <c r="M1430">
        <v>21</v>
      </c>
      <c r="N1430">
        <v>5.9</v>
      </c>
    </row>
    <row r="1431" spans="1:14">
      <c r="A1431" s="1" t="s">
        <v>1443</v>
      </c>
      <c r="B1431">
        <f>HYPERLINK("https://www.suredividend.com/sure-analysis-research-database/","Regional Management Corp")</f>
        <v>0</v>
      </c>
      <c r="C1431" t="s">
        <v>1923</v>
      </c>
      <c r="D1431">
        <v>28.18</v>
      </c>
      <c r="E1431">
        <v>0.040443204278235</v>
      </c>
      <c r="H1431">
        <v>1.139689496560669</v>
      </c>
      <c r="I1431">
        <v>272.556537</v>
      </c>
      <c r="J1431">
        <v>0</v>
      </c>
      <c r="K1431" t="s">
        <v>1921</v>
      </c>
      <c r="L1431">
        <v>0.9211768567482481</v>
      </c>
      <c r="M1431">
        <v>66.36</v>
      </c>
      <c r="N1431">
        <v>27.72</v>
      </c>
    </row>
    <row r="1432" spans="1:14">
      <c r="A1432" s="1" t="s">
        <v>1444</v>
      </c>
      <c r="B1432">
        <f>HYPERLINK("https://www.suredividend.com/sure-analysis-research-database/","RE/MAX Holdings Inc")</f>
        <v>0</v>
      </c>
      <c r="C1432" t="s">
        <v>1929</v>
      </c>
      <c r="D1432">
        <v>18.14</v>
      </c>
      <c r="E1432">
        <v>0.05006101074256301</v>
      </c>
      <c r="F1432">
        <v>0</v>
      </c>
      <c r="G1432">
        <v>0.05024607263868264</v>
      </c>
      <c r="H1432">
        <v>0.9081067348700981</v>
      </c>
      <c r="I1432">
        <v>349.490065</v>
      </c>
      <c r="J1432">
        <v>0</v>
      </c>
      <c r="K1432" t="s">
        <v>1921</v>
      </c>
      <c r="L1432">
        <v>0.9530110251365971</v>
      </c>
      <c r="M1432">
        <v>31.97</v>
      </c>
      <c r="N1432">
        <v>17.93</v>
      </c>
    </row>
    <row r="1433" spans="1:14">
      <c r="A1433" s="1" t="s">
        <v>1445</v>
      </c>
      <c r="B1433">
        <f>HYPERLINK("https://www.suredividend.com/sure-analysis-research-database/","Rambus Inc.")</f>
        <v>0</v>
      </c>
      <c r="C1433" t="s">
        <v>1920</v>
      </c>
      <c r="D1433">
        <v>26.53</v>
      </c>
      <c r="E1433">
        <v>0</v>
      </c>
      <c r="H1433">
        <v>0</v>
      </c>
      <c r="I1433">
        <v>2932.321927</v>
      </c>
      <c r="J1433" t="s">
        <v>1921</v>
      </c>
      <c r="K1433">
        <v>-0</v>
      </c>
      <c r="L1433">
        <v>1.32311023001583</v>
      </c>
      <c r="M1433">
        <v>33.75</v>
      </c>
      <c r="N1433">
        <v>20</v>
      </c>
    </row>
    <row r="1434" spans="1:14">
      <c r="A1434" s="1" t="s">
        <v>1446</v>
      </c>
      <c r="B1434">
        <f>HYPERLINK("https://www.suredividend.com/sure-analysis-research-database/","Rimini Street Inc.")</f>
        <v>0</v>
      </c>
      <c r="C1434" t="s">
        <v>1920</v>
      </c>
      <c r="D1434">
        <v>4.6</v>
      </c>
      <c r="E1434">
        <v>0</v>
      </c>
      <c r="H1434">
        <v>0</v>
      </c>
      <c r="I1434">
        <v>402.7254</v>
      </c>
      <c r="J1434">
        <v>0</v>
      </c>
      <c r="K1434" t="s">
        <v>1921</v>
      </c>
      <c r="L1434">
        <v>1.170907294386416</v>
      </c>
      <c r="M1434">
        <v>11.52</v>
      </c>
      <c r="N1434">
        <v>4.19</v>
      </c>
    </row>
    <row r="1435" spans="1:14">
      <c r="A1435" s="1" t="s">
        <v>1447</v>
      </c>
      <c r="B1435">
        <f>HYPERLINK("https://www.suredividend.com/sure-analysis-research-database/","Romeo Power Inc")</f>
        <v>0</v>
      </c>
      <c r="C1435" t="s">
        <v>1921</v>
      </c>
      <c r="D1435">
        <v>0.3433</v>
      </c>
      <c r="E1435">
        <v>0</v>
      </c>
      <c r="H1435">
        <v>0</v>
      </c>
      <c r="I1435">
        <v>63.822435</v>
      </c>
      <c r="J1435">
        <v>0</v>
      </c>
      <c r="K1435" t="s">
        <v>1921</v>
      </c>
      <c r="L1435">
        <v>2.134587127281978</v>
      </c>
      <c r="M1435">
        <v>5.55</v>
      </c>
      <c r="N1435">
        <v>0.33</v>
      </c>
    </row>
    <row r="1436" spans="1:14">
      <c r="A1436" s="1" t="s">
        <v>1448</v>
      </c>
      <c r="B1436">
        <f>HYPERLINK("https://www.suredividend.com/sure-analysis-research-database/","RMR Group Inc (The)")</f>
        <v>0</v>
      </c>
      <c r="C1436" t="s">
        <v>1929</v>
      </c>
      <c r="D1436">
        <v>24.23</v>
      </c>
      <c r="E1436">
        <v>0.06310989197806201</v>
      </c>
      <c r="F1436">
        <v>-0.9428571428571428</v>
      </c>
      <c r="G1436">
        <v>0.09856054330611785</v>
      </c>
      <c r="H1436">
        <v>1.529152682628457</v>
      </c>
      <c r="I1436">
        <v>375.201817</v>
      </c>
      <c r="J1436">
        <v>0</v>
      </c>
      <c r="K1436" t="s">
        <v>1921</v>
      </c>
      <c r="L1436">
        <v>0.7408607592384171</v>
      </c>
      <c r="M1436">
        <v>36.26</v>
      </c>
      <c r="N1436">
        <v>23</v>
      </c>
    </row>
    <row r="1437" spans="1:14">
      <c r="A1437" s="1" t="s">
        <v>1449</v>
      </c>
      <c r="B1437">
        <f>HYPERLINK("https://www.suredividend.com/sure-analysis-research-database/","Avidity Biosciences Inc")</f>
        <v>0</v>
      </c>
      <c r="C1437" t="s">
        <v>1921</v>
      </c>
      <c r="D1437">
        <v>16.04</v>
      </c>
      <c r="E1437">
        <v>0</v>
      </c>
      <c r="H1437">
        <v>0</v>
      </c>
      <c r="I1437">
        <v>836.1175930000001</v>
      </c>
      <c r="J1437">
        <v>0</v>
      </c>
      <c r="K1437" t="s">
        <v>1921</v>
      </c>
      <c r="L1437">
        <v>1.490474568734667</v>
      </c>
      <c r="M1437">
        <v>29.25</v>
      </c>
      <c r="N1437">
        <v>10.89</v>
      </c>
    </row>
    <row r="1438" spans="1:14">
      <c r="A1438" s="1" t="s">
        <v>1450</v>
      </c>
      <c r="B1438">
        <f>HYPERLINK("https://www.suredividend.com/sure-analysis-research-database/","Renasant Corp.")</f>
        <v>0</v>
      </c>
      <c r="C1438" t="s">
        <v>1923</v>
      </c>
      <c r="D1438">
        <v>32.85</v>
      </c>
      <c r="E1438">
        <v>0.026512490053302</v>
      </c>
      <c r="F1438">
        <v>0</v>
      </c>
      <c r="G1438">
        <v>0.02975477857041309</v>
      </c>
      <c r="H1438">
        <v>0.87093529825098</v>
      </c>
      <c r="I1438">
        <v>1837.940188</v>
      </c>
      <c r="J1438">
        <v>12.22506144690107</v>
      </c>
      <c r="K1438">
        <v>0.3249758575563358</v>
      </c>
      <c r="L1438">
        <v>0.701001929950916</v>
      </c>
      <c r="M1438">
        <v>39.96</v>
      </c>
      <c r="N1438">
        <v>27.43</v>
      </c>
    </row>
    <row r="1439" spans="1:14">
      <c r="A1439" s="1" t="s">
        <v>1451</v>
      </c>
      <c r="B1439">
        <f>HYPERLINK("https://www.suredividend.com/sure-analysis-research-database/","Construction Partners Inc")</f>
        <v>0</v>
      </c>
      <c r="C1439" t="s">
        <v>1924</v>
      </c>
      <c r="D1439">
        <v>26.87</v>
      </c>
      <c r="E1439">
        <v>0</v>
      </c>
      <c r="H1439">
        <v>0</v>
      </c>
      <c r="I1439">
        <v>1106.879744</v>
      </c>
      <c r="J1439">
        <v>0</v>
      </c>
      <c r="K1439" t="s">
        <v>1921</v>
      </c>
      <c r="L1439">
        <v>1.018449241955843</v>
      </c>
      <c r="M1439">
        <v>44.99</v>
      </c>
      <c r="N1439">
        <v>18.89</v>
      </c>
    </row>
    <row r="1440" spans="1:14">
      <c r="A1440" s="1" t="s">
        <v>1452</v>
      </c>
      <c r="B1440">
        <f>HYPERLINK("https://www.suredividend.com/sure-analysis-research-database/","Ranger Oil Corp")</f>
        <v>0</v>
      </c>
      <c r="C1440" t="s">
        <v>1921</v>
      </c>
      <c r="D1440">
        <v>36.04</v>
      </c>
      <c r="E1440">
        <v>0.002081021170372</v>
      </c>
      <c r="H1440">
        <v>0.075000002980232</v>
      </c>
      <c r="I1440">
        <v>762.72872</v>
      </c>
      <c r="J1440">
        <v>0</v>
      </c>
      <c r="K1440" t="s">
        <v>1921</v>
      </c>
      <c r="M1440">
        <v>53.47</v>
      </c>
      <c r="N1440">
        <v>23.27</v>
      </c>
    </row>
    <row r="1441" spans="1:14">
      <c r="A1441" s="1" t="s">
        <v>1453</v>
      </c>
      <c r="B1441">
        <f>HYPERLINK("https://www.suredividend.com/sure-analysis-research-database/","Gibraltar Industries Inc.")</f>
        <v>0</v>
      </c>
      <c r="C1441" t="s">
        <v>1924</v>
      </c>
      <c r="D1441">
        <v>45.92</v>
      </c>
      <c r="E1441">
        <v>0</v>
      </c>
      <c r="H1441">
        <v>0</v>
      </c>
      <c r="I1441">
        <v>1452.347061</v>
      </c>
      <c r="J1441">
        <v>17.78072086091013</v>
      </c>
      <c r="K1441">
        <v>0</v>
      </c>
      <c r="L1441">
        <v>1.18110584595501</v>
      </c>
      <c r="M1441">
        <v>79.40000000000001</v>
      </c>
      <c r="N1441">
        <v>36.58</v>
      </c>
    </row>
    <row r="1442" spans="1:14">
      <c r="A1442" s="1" t="s">
        <v>1454</v>
      </c>
      <c r="B1442">
        <f>HYPERLINK("https://www.suredividend.com/sure-analysis-research-database/","Rogers Corp.")</f>
        <v>0</v>
      </c>
      <c r="C1442" t="s">
        <v>1920</v>
      </c>
      <c r="D1442">
        <v>234.77</v>
      </c>
      <c r="E1442">
        <v>0</v>
      </c>
      <c r="H1442">
        <v>0</v>
      </c>
      <c r="I1442">
        <v>4416.270678</v>
      </c>
      <c r="J1442">
        <v>53.37334491183544</v>
      </c>
      <c r="K1442">
        <v>0</v>
      </c>
      <c r="L1442">
        <v>0.177473189203743</v>
      </c>
      <c r="M1442">
        <v>274.51</v>
      </c>
      <c r="N1442">
        <v>181.49</v>
      </c>
    </row>
    <row r="1443" spans="1:14">
      <c r="A1443" s="1" t="s">
        <v>1455</v>
      </c>
      <c r="B1443">
        <f>HYPERLINK("https://www.suredividend.com/sure-analysis-research-database/","Retail Opportunity Investments Corp")</f>
        <v>0</v>
      </c>
      <c r="C1443" t="s">
        <v>1929</v>
      </c>
      <c r="D1443">
        <v>13.6</v>
      </c>
      <c r="E1443">
        <v>0.037750207070967</v>
      </c>
      <c r="H1443">
        <v>0.513402816165156</v>
      </c>
      <c r="I1443">
        <v>1693.766005</v>
      </c>
      <c r="J1443">
        <v>32.43147100677823</v>
      </c>
      <c r="K1443">
        <v>1.286401443661128</v>
      </c>
      <c r="L1443">
        <v>0.8414493562317731</v>
      </c>
      <c r="M1443">
        <v>19.65</v>
      </c>
      <c r="N1443">
        <v>13.35</v>
      </c>
    </row>
    <row r="1444" spans="1:14">
      <c r="A1444" s="1" t="s">
        <v>1456</v>
      </c>
      <c r="B1444">
        <f>HYPERLINK("https://www.suredividend.com/sure-analysis-research-database/","RBC Bearings Inc.")</f>
        <v>0</v>
      </c>
      <c r="C1444" t="s">
        <v>1924</v>
      </c>
      <c r="D1444">
        <v>208.32</v>
      </c>
      <c r="E1444">
        <v>0</v>
      </c>
      <c r="H1444">
        <v>0</v>
      </c>
      <c r="I1444">
        <v>6269.891645</v>
      </c>
      <c r="J1444">
        <v>0</v>
      </c>
      <c r="K1444" t="s">
        <v>1921</v>
      </c>
    </row>
    <row r="1445" spans="1:14">
      <c r="A1445" s="1" t="s">
        <v>1457</v>
      </c>
      <c r="B1445">
        <f>HYPERLINK("https://www.suredividend.com/sure-analysis-research-database/","Repay Holdings Corporation")</f>
        <v>0</v>
      </c>
      <c r="C1445" t="s">
        <v>1920</v>
      </c>
      <c r="D1445">
        <v>6.6</v>
      </c>
      <c r="E1445">
        <v>0</v>
      </c>
      <c r="H1445">
        <v>0</v>
      </c>
      <c r="I1445">
        <v>602.79813</v>
      </c>
      <c r="J1445">
        <v>0</v>
      </c>
      <c r="K1445" t="s">
        <v>1921</v>
      </c>
      <c r="L1445">
        <v>1.366046105383975</v>
      </c>
      <c r="M1445">
        <v>23.3</v>
      </c>
      <c r="N1445">
        <v>6.54</v>
      </c>
    </row>
    <row r="1446" spans="1:14">
      <c r="A1446" s="1" t="s">
        <v>1458</v>
      </c>
      <c r="B1446">
        <f>HYPERLINK("https://www.suredividend.com/sure-analysis-research-database/","Rapid7 Inc")</f>
        <v>0</v>
      </c>
      <c r="C1446" t="s">
        <v>1920</v>
      </c>
      <c r="D1446">
        <v>39.89</v>
      </c>
      <c r="E1446">
        <v>0</v>
      </c>
      <c r="H1446">
        <v>0</v>
      </c>
      <c r="I1446">
        <v>2324.170466</v>
      </c>
      <c r="J1446" t="s">
        <v>1921</v>
      </c>
      <c r="K1446">
        <v>-0</v>
      </c>
      <c r="L1446">
        <v>1.422086637617213</v>
      </c>
      <c r="M1446">
        <v>145</v>
      </c>
      <c r="N1446">
        <v>39.67</v>
      </c>
    </row>
    <row r="1447" spans="1:14">
      <c r="A1447" s="1" t="s">
        <v>1459</v>
      </c>
      <c r="B1447">
        <f>HYPERLINK("https://www.suredividend.com/sure-analysis-research-database/","Reneo Pharmaceuticals Inc")</f>
        <v>0</v>
      </c>
      <c r="C1447" t="s">
        <v>1921</v>
      </c>
      <c r="D1447">
        <v>3.15</v>
      </c>
      <c r="E1447">
        <v>0</v>
      </c>
      <c r="H1447">
        <v>0</v>
      </c>
      <c r="I1447">
        <v>77.110885</v>
      </c>
      <c r="J1447">
        <v>0</v>
      </c>
      <c r="K1447" t="s">
        <v>1921</v>
      </c>
      <c r="L1447">
        <v>0.896230204330943</v>
      </c>
      <c r="M1447">
        <v>10</v>
      </c>
      <c r="N1447">
        <v>1.92</v>
      </c>
    </row>
    <row r="1448" spans="1:14">
      <c r="A1448" s="1" t="s">
        <v>1460</v>
      </c>
      <c r="B1448">
        <f>HYPERLINK("https://www.suredividend.com/sure-analysis-research-database/","Rapid Micro Biosystems Inc")</f>
        <v>0</v>
      </c>
      <c r="C1448" t="s">
        <v>1921</v>
      </c>
      <c r="D1448">
        <v>3.33</v>
      </c>
      <c r="E1448">
        <v>0</v>
      </c>
      <c r="H1448">
        <v>0</v>
      </c>
      <c r="I1448">
        <v>121.175613</v>
      </c>
      <c r="J1448">
        <v>0</v>
      </c>
      <c r="K1448" t="s">
        <v>1921</v>
      </c>
      <c r="L1448">
        <v>1.651730657423712</v>
      </c>
      <c r="M1448">
        <v>22.71</v>
      </c>
      <c r="N1448">
        <v>2.49</v>
      </c>
    </row>
    <row r="1449" spans="1:14">
      <c r="A1449" s="1" t="s">
        <v>1461</v>
      </c>
      <c r="B1449">
        <f>HYPERLINK("https://www.suredividend.com/sure-analysis-RPT/","RPT Realty")</f>
        <v>0</v>
      </c>
      <c r="C1449" t="s">
        <v>1929</v>
      </c>
      <c r="D1449">
        <v>8.16</v>
      </c>
      <c r="E1449">
        <v>0.06372549019607843</v>
      </c>
      <c r="H1449">
        <v>0.500282877748032</v>
      </c>
      <c r="I1449">
        <v>694.503655</v>
      </c>
      <c r="J1449">
        <v>33.69904676209423</v>
      </c>
      <c r="K1449">
        <v>2.004338452516154</v>
      </c>
      <c r="L1449">
        <v>1.004087149516228</v>
      </c>
      <c r="M1449">
        <v>14.31</v>
      </c>
      <c r="N1449">
        <v>7.28</v>
      </c>
    </row>
    <row r="1450" spans="1:14">
      <c r="A1450" s="1" t="s">
        <v>1462</v>
      </c>
      <c r="B1450">
        <f>HYPERLINK("https://www.suredividend.com/sure-analysis-research-database/","Red River Bancshares Inc")</f>
        <v>0</v>
      </c>
      <c r="C1450" t="s">
        <v>1923</v>
      </c>
      <c r="D1450">
        <v>50.31</v>
      </c>
      <c r="E1450">
        <v>0.005554160337371001</v>
      </c>
      <c r="H1450">
        <v>0.279429806573151</v>
      </c>
      <c r="I1450">
        <v>361.422764</v>
      </c>
      <c r="J1450">
        <v>0</v>
      </c>
      <c r="K1450" t="s">
        <v>1921</v>
      </c>
      <c r="L1450">
        <v>0.565637749539272</v>
      </c>
      <c r="M1450">
        <v>57.72</v>
      </c>
      <c r="N1450">
        <v>46.9</v>
      </c>
    </row>
    <row r="1451" spans="1:14">
      <c r="A1451" s="1" t="s">
        <v>1463</v>
      </c>
      <c r="B1451">
        <f>HYPERLINK("https://www.suredividend.com/sure-analysis-research-database/","Range Resources Corp")</f>
        <v>0</v>
      </c>
      <c r="C1451" t="s">
        <v>1926</v>
      </c>
      <c r="D1451">
        <v>26.95</v>
      </c>
      <c r="E1451">
        <v>0.002968460044967</v>
      </c>
      <c r="H1451">
        <v>0.07999999821186</v>
      </c>
      <c r="I1451">
        <v>7084.780745</v>
      </c>
      <c r="J1451">
        <v>13.49250746605344</v>
      </c>
      <c r="K1451">
        <v>0.03809523724374286</v>
      </c>
      <c r="L1451">
        <v>1.02211284030733</v>
      </c>
      <c r="M1451">
        <v>37.34</v>
      </c>
      <c r="N1451">
        <v>16.67</v>
      </c>
    </row>
    <row r="1452" spans="1:14">
      <c r="A1452" s="1" t="s">
        <v>1464</v>
      </c>
      <c r="B1452">
        <f>HYPERLINK("https://www.suredividend.com/sure-analysis-research-database/","Red Robin Gourmet Burgers Inc")</f>
        <v>0</v>
      </c>
      <c r="C1452" t="s">
        <v>1927</v>
      </c>
      <c r="D1452">
        <v>7.34</v>
      </c>
      <c r="E1452">
        <v>0</v>
      </c>
      <c r="H1452">
        <v>0</v>
      </c>
      <c r="I1452">
        <v>116.660543</v>
      </c>
      <c r="J1452" t="s">
        <v>1921</v>
      </c>
      <c r="K1452">
        <v>-0</v>
      </c>
      <c r="L1452">
        <v>1.671868916002221</v>
      </c>
      <c r="M1452">
        <v>23.71</v>
      </c>
      <c r="N1452">
        <v>5.95</v>
      </c>
    </row>
    <row r="1453" spans="1:14">
      <c r="A1453" s="1" t="s">
        <v>1465</v>
      </c>
      <c r="B1453">
        <f>HYPERLINK("https://www.suredividend.com/sure-analysis-research-database/","Red Rock Resorts Inc")</f>
        <v>0</v>
      </c>
      <c r="C1453" t="s">
        <v>1927</v>
      </c>
      <c r="D1453">
        <v>36.71</v>
      </c>
      <c r="E1453">
        <v>0.020293327267409</v>
      </c>
      <c r="H1453">
        <v>0.7449680439866171</v>
      </c>
      <c r="I1453">
        <v>2145.517639</v>
      </c>
      <c r="J1453">
        <v>7.554426771992339</v>
      </c>
      <c r="K1453">
        <v>0.2932945055065422</v>
      </c>
      <c r="L1453">
        <v>1.31338356613773</v>
      </c>
      <c r="M1453">
        <v>54.76</v>
      </c>
      <c r="N1453">
        <v>30.78</v>
      </c>
    </row>
    <row r="1454" spans="1:14">
      <c r="A1454" s="1" t="s">
        <v>1466</v>
      </c>
      <c r="B1454">
        <f>HYPERLINK("https://www.suredividend.com/sure-analysis-research-database/","Rush Street Interactive Inc")</f>
        <v>0</v>
      </c>
      <c r="C1454" t="s">
        <v>1921</v>
      </c>
      <c r="D1454">
        <v>3.57</v>
      </c>
      <c r="E1454">
        <v>0</v>
      </c>
      <c r="H1454">
        <v>0</v>
      </c>
      <c r="I1454">
        <v>228.682787</v>
      </c>
      <c r="J1454">
        <v>0</v>
      </c>
      <c r="K1454" t="s">
        <v>1921</v>
      </c>
      <c r="L1454">
        <v>2.039187641228684</v>
      </c>
      <c r="M1454">
        <v>21.83</v>
      </c>
      <c r="N1454">
        <v>3.52</v>
      </c>
    </row>
    <row r="1455" spans="1:14">
      <c r="A1455" s="1" t="s">
        <v>1467</v>
      </c>
      <c r="B1455">
        <f>HYPERLINK("https://www.suredividend.com/sure-analysis-research-database/","Rubius Therapeutics Inc")</f>
        <v>0</v>
      </c>
      <c r="C1455" t="s">
        <v>1922</v>
      </c>
      <c r="D1455">
        <v>0.403</v>
      </c>
      <c r="E1455">
        <v>0</v>
      </c>
      <c r="H1455">
        <v>0</v>
      </c>
      <c r="I1455">
        <v>36.413884</v>
      </c>
      <c r="J1455">
        <v>0</v>
      </c>
      <c r="K1455" t="s">
        <v>1921</v>
      </c>
      <c r="L1455">
        <v>1.733570990593152</v>
      </c>
      <c r="M1455">
        <v>17.22</v>
      </c>
      <c r="N1455">
        <v>0.3904</v>
      </c>
    </row>
    <row r="1456" spans="1:14">
      <c r="A1456" s="1" t="s">
        <v>1468</v>
      </c>
      <c r="B1456">
        <f>HYPERLINK("https://www.suredividend.com/sure-analysis-research-database/","Rush Enterprises Inc")</f>
        <v>0</v>
      </c>
      <c r="C1456" t="s">
        <v>1927</v>
      </c>
      <c r="D1456">
        <v>45.91</v>
      </c>
      <c r="E1456">
        <v>0.016890064865512</v>
      </c>
      <c r="H1456">
        <v>0.7754228779756991</v>
      </c>
      <c r="I1456">
        <v>2565.763742</v>
      </c>
      <c r="J1456">
        <v>7.520616895188239</v>
      </c>
      <c r="K1456">
        <v>0.1312052246997799</v>
      </c>
      <c r="L1456">
        <v>0.7705448364595591</v>
      </c>
      <c r="M1456">
        <v>60.17</v>
      </c>
      <c r="N1456">
        <v>42.72</v>
      </c>
    </row>
    <row r="1457" spans="1:14">
      <c r="A1457" s="1" t="s">
        <v>1469</v>
      </c>
      <c r="B1457">
        <f>HYPERLINK("https://www.suredividend.com/sure-analysis-research-database/","Rush Enterprises Inc")</f>
        <v>0</v>
      </c>
      <c r="C1457" t="s">
        <v>1927</v>
      </c>
      <c r="D1457">
        <v>49.31</v>
      </c>
      <c r="E1457">
        <v>0.015729352741157</v>
      </c>
      <c r="H1457">
        <v>0.7756143836664551</v>
      </c>
      <c r="I1457">
        <v>2565.763742</v>
      </c>
      <c r="J1457">
        <v>0</v>
      </c>
      <c r="K1457" t="s">
        <v>1921</v>
      </c>
      <c r="L1457">
        <v>0.85803746734296</v>
      </c>
      <c r="M1457">
        <v>60.01</v>
      </c>
      <c r="N1457">
        <v>43.84</v>
      </c>
    </row>
    <row r="1458" spans="1:14">
      <c r="A1458" s="1" t="s">
        <v>1470</v>
      </c>
      <c r="B1458">
        <f>HYPERLINK("https://www.suredividend.com/sure-analysis-research-database/","Ruths Hospitality Group Inc")</f>
        <v>0</v>
      </c>
      <c r="C1458" t="s">
        <v>1927</v>
      </c>
      <c r="D1458">
        <v>17.08</v>
      </c>
      <c r="E1458">
        <v>0.023257304271891</v>
      </c>
      <c r="H1458">
        <v>0.397234756963908</v>
      </c>
      <c r="I1458">
        <v>577.143192</v>
      </c>
      <c r="J1458">
        <v>13.9114226577</v>
      </c>
      <c r="K1458">
        <v>0.325602259806482</v>
      </c>
      <c r="L1458">
        <v>1.154478957284429</v>
      </c>
      <c r="M1458">
        <v>24.57</v>
      </c>
      <c r="N1458">
        <v>15.05</v>
      </c>
    </row>
    <row r="1459" spans="1:14">
      <c r="A1459" s="1" t="s">
        <v>1471</v>
      </c>
      <c r="B1459">
        <f>HYPERLINK("https://www.suredividend.com/sure-analysis-research-database/","Revolve Group Inc")</f>
        <v>0</v>
      </c>
      <c r="C1459" t="s">
        <v>1927</v>
      </c>
      <c r="D1459">
        <v>22.1</v>
      </c>
      <c r="E1459">
        <v>0</v>
      </c>
      <c r="H1459">
        <v>0</v>
      </c>
      <c r="I1459">
        <v>900.065683</v>
      </c>
      <c r="J1459">
        <v>10.60260432083496</v>
      </c>
      <c r="K1459">
        <v>0</v>
      </c>
      <c r="L1459">
        <v>1.856712686847601</v>
      </c>
      <c r="M1459">
        <v>89.59999999999999</v>
      </c>
      <c r="N1459">
        <v>21.01</v>
      </c>
    </row>
    <row r="1460" spans="1:14">
      <c r="A1460" s="1" t="s">
        <v>1472</v>
      </c>
      <c r="B1460">
        <f>HYPERLINK("https://www.suredividend.com/sure-analysis-research-database/","Revolution Medicines Inc")</f>
        <v>0</v>
      </c>
      <c r="C1460" t="s">
        <v>1922</v>
      </c>
      <c r="D1460">
        <v>18.2</v>
      </c>
      <c r="E1460">
        <v>0</v>
      </c>
      <c r="H1460">
        <v>0</v>
      </c>
      <c r="I1460">
        <v>1596.09561</v>
      </c>
      <c r="J1460">
        <v>0</v>
      </c>
      <c r="K1460" t="s">
        <v>1921</v>
      </c>
      <c r="L1460">
        <v>1.518077294603016</v>
      </c>
      <c r="M1460">
        <v>34.16</v>
      </c>
      <c r="N1460">
        <v>14.08</v>
      </c>
    </row>
    <row r="1461" spans="1:14">
      <c r="A1461" s="1" t="s">
        <v>1473</v>
      </c>
      <c r="B1461">
        <f>HYPERLINK("https://www.suredividend.com/sure-analysis-research-database/","Revance Therapeutics Inc")</f>
        <v>0</v>
      </c>
      <c r="C1461" t="s">
        <v>1922</v>
      </c>
      <c r="D1461">
        <v>28.89</v>
      </c>
      <c r="E1461">
        <v>0</v>
      </c>
      <c r="H1461">
        <v>0</v>
      </c>
      <c r="I1461">
        <v>2112.023471</v>
      </c>
      <c r="J1461">
        <v>0</v>
      </c>
      <c r="K1461" t="s">
        <v>1921</v>
      </c>
      <c r="L1461">
        <v>1.294578794389513</v>
      </c>
      <c r="M1461">
        <v>30.95</v>
      </c>
      <c r="N1461">
        <v>11.27</v>
      </c>
    </row>
    <row r="1462" spans="1:14">
      <c r="A1462" s="1" t="s">
        <v>1474</v>
      </c>
      <c r="B1462">
        <f>HYPERLINK("https://www.suredividend.com/sure-analysis-research-database/","Retractable Technologies Inc")</f>
        <v>0</v>
      </c>
      <c r="C1462" t="s">
        <v>1922</v>
      </c>
      <c r="D1462">
        <v>1.96</v>
      </c>
      <c r="E1462">
        <v>0</v>
      </c>
      <c r="H1462">
        <v>0</v>
      </c>
      <c r="I1462">
        <v>64.556832</v>
      </c>
      <c r="J1462">
        <v>0</v>
      </c>
      <c r="K1462" t="s">
        <v>1921</v>
      </c>
      <c r="L1462">
        <v>0.9010676283827881</v>
      </c>
      <c r="M1462">
        <v>10.31</v>
      </c>
      <c r="N1462">
        <v>1.92</v>
      </c>
    </row>
    <row r="1463" spans="1:14">
      <c r="A1463" s="1" t="s">
        <v>1475</v>
      </c>
      <c r="B1463">
        <f>HYPERLINK("https://www.suredividend.com/sure-analysis-research-database/","Redwood Trust Inc.")</f>
        <v>0</v>
      </c>
      <c r="C1463" t="s">
        <v>1929</v>
      </c>
      <c r="D1463">
        <v>5.59</v>
      </c>
      <c r="E1463">
        <v>0.157239689207611</v>
      </c>
      <c r="F1463">
        <v>0.09523809523809534</v>
      </c>
      <c r="G1463">
        <v>-0.03857820993638306</v>
      </c>
      <c r="H1463">
        <v>0.8789698626705451</v>
      </c>
      <c r="I1463">
        <v>672.320978</v>
      </c>
      <c r="J1463">
        <v>11.8533317614598</v>
      </c>
      <c r="K1463">
        <v>2.113924633647295</v>
      </c>
      <c r="L1463">
        <v>1.065498344266797</v>
      </c>
      <c r="M1463">
        <v>12.77</v>
      </c>
      <c r="N1463">
        <v>5.52</v>
      </c>
    </row>
    <row r="1464" spans="1:14">
      <c r="A1464" s="1" t="s">
        <v>1476</v>
      </c>
      <c r="B1464">
        <f>HYPERLINK("https://www.suredividend.com/sure-analysis-research-database/","Prometheus Biosciences Inc")</f>
        <v>0</v>
      </c>
      <c r="C1464" t="s">
        <v>1921</v>
      </c>
      <c r="D1464">
        <v>53.09</v>
      </c>
      <c r="E1464">
        <v>0</v>
      </c>
      <c r="H1464">
        <v>0</v>
      </c>
      <c r="I1464">
        <v>2171.598563</v>
      </c>
      <c r="J1464">
        <v>0</v>
      </c>
      <c r="K1464" t="s">
        <v>1921</v>
      </c>
      <c r="L1464">
        <v>1.447183957379499</v>
      </c>
      <c r="M1464">
        <v>63.13</v>
      </c>
      <c r="N1464">
        <v>21.5</v>
      </c>
    </row>
    <row r="1465" spans="1:14">
      <c r="A1465" s="1" t="s">
        <v>1477</v>
      </c>
      <c r="B1465">
        <f>HYPERLINK("https://www.suredividend.com/sure-analysis-research-database/","Recursion Pharmaceuticals Inc")</f>
        <v>0</v>
      </c>
      <c r="C1465" t="s">
        <v>1921</v>
      </c>
      <c r="D1465">
        <v>10.9</v>
      </c>
      <c r="E1465">
        <v>0</v>
      </c>
      <c r="H1465">
        <v>0</v>
      </c>
      <c r="I1465">
        <v>1785.792311</v>
      </c>
      <c r="J1465">
        <v>0</v>
      </c>
      <c r="K1465" t="s">
        <v>1921</v>
      </c>
      <c r="L1465">
        <v>2.271235566659988</v>
      </c>
      <c r="M1465">
        <v>21.19</v>
      </c>
      <c r="N1465">
        <v>4.92</v>
      </c>
    </row>
    <row r="1466" spans="1:14">
      <c r="A1466" s="1" t="s">
        <v>1478</v>
      </c>
      <c r="B1466">
        <f>HYPERLINK("https://www.suredividend.com/sure-analysis-research-database/","RxSight Inc")</f>
        <v>0</v>
      </c>
      <c r="C1466" t="s">
        <v>1921</v>
      </c>
      <c r="D1466">
        <v>9.93</v>
      </c>
      <c r="E1466">
        <v>0</v>
      </c>
      <c r="H1466">
        <v>0</v>
      </c>
      <c r="I1466">
        <v>274.454267</v>
      </c>
      <c r="J1466">
        <v>0</v>
      </c>
      <c r="K1466" t="s">
        <v>1921</v>
      </c>
      <c r="L1466">
        <v>1.104891798406462</v>
      </c>
      <c r="M1466">
        <v>16.99</v>
      </c>
      <c r="N1466">
        <v>8.800000000000001</v>
      </c>
    </row>
    <row r="1467" spans="1:14">
      <c r="A1467" s="1" t="s">
        <v>1479</v>
      </c>
      <c r="B1467">
        <f>HYPERLINK("https://www.suredividend.com/sure-analysis-research-database/","Rackspace Technology Inc")</f>
        <v>0</v>
      </c>
      <c r="C1467" t="s">
        <v>1921</v>
      </c>
      <c r="D1467">
        <v>4.18</v>
      </c>
      <c r="E1467">
        <v>0</v>
      </c>
      <c r="H1467">
        <v>0</v>
      </c>
      <c r="I1467">
        <v>880.242738</v>
      </c>
      <c r="J1467">
        <v>0</v>
      </c>
      <c r="K1467" t="s">
        <v>1921</v>
      </c>
      <c r="L1467">
        <v>1.737126504433135</v>
      </c>
      <c r="M1467">
        <v>18.5</v>
      </c>
      <c r="N1467">
        <v>4.02</v>
      </c>
    </row>
    <row r="1468" spans="1:14">
      <c r="A1468" s="1" t="s">
        <v>1480</v>
      </c>
      <c r="B1468">
        <f>HYPERLINK("https://www.suredividend.com/sure-analysis-research-database/","Rayonier Advanced Materials Inc")</f>
        <v>0</v>
      </c>
      <c r="C1468" t="s">
        <v>1925</v>
      </c>
      <c r="D1468">
        <v>3.06</v>
      </c>
      <c r="E1468">
        <v>0</v>
      </c>
      <c r="H1468">
        <v>0</v>
      </c>
      <c r="I1468">
        <v>195.751759</v>
      </c>
      <c r="J1468" t="s">
        <v>1921</v>
      </c>
      <c r="K1468">
        <v>-0</v>
      </c>
      <c r="L1468">
        <v>1.238027722457825</v>
      </c>
      <c r="M1468">
        <v>8.32</v>
      </c>
      <c r="N1468">
        <v>2.44</v>
      </c>
    </row>
    <row r="1469" spans="1:14">
      <c r="A1469" s="1" t="s">
        <v>1481</v>
      </c>
      <c r="B1469">
        <f>HYPERLINK("https://www.suredividend.com/sure-analysis-research-database/","Ryerson Holding Corp.")</f>
        <v>0</v>
      </c>
      <c r="C1469" t="s">
        <v>1924</v>
      </c>
      <c r="D1469">
        <v>28.95</v>
      </c>
      <c r="E1469">
        <v>0.015796732970019</v>
      </c>
      <c r="H1469">
        <v>0.457315419482051</v>
      </c>
      <c r="I1469">
        <v>1072.755943</v>
      </c>
      <c r="J1469">
        <v>2.0785815604534</v>
      </c>
      <c r="K1469">
        <v>0.03456654720196908</v>
      </c>
      <c r="L1469">
        <v>1.462293573619808</v>
      </c>
      <c r="M1469">
        <v>43.68</v>
      </c>
      <c r="N1469">
        <v>17.67</v>
      </c>
    </row>
    <row r="1470" spans="1:14">
      <c r="A1470" s="1" t="s">
        <v>1482</v>
      </c>
      <c r="B1470">
        <f>HYPERLINK("https://www.suredividend.com/sure-analysis-research-database/","Rhythm Pharmaceuticals Inc.")</f>
        <v>0</v>
      </c>
      <c r="C1470" t="s">
        <v>1922</v>
      </c>
      <c r="D1470">
        <v>23.24</v>
      </c>
      <c r="E1470">
        <v>0</v>
      </c>
      <c r="H1470">
        <v>0</v>
      </c>
      <c r="I1470">
        <v>1294.933799</v>
      </c>
      <c r="J1470">
        <v>0</v>
      </c>
      <c r="K1470" t="s">
        <v>1921</v>
      </c>
      <c r="L1470">
        <v>1.229959710724403</v>
      </c>
      <c r="M1470">
        <v>30.98</v>
      </c>
      <c r="N1470">
        <v>3.04</v>
      </c>
    </row>
    <row r="1471" spans="1:14">
      <c r="A1471" s="1" t="s">
        <v>1483</v>
      </c>
      <c r="B1471">
        <f>HYPERLINK("https://www.suredividend.com/sure-analysis-SAFE/","Safehold Inc")</f>
        <v>0</v>
      </c>
      <c r="C1471" t="s">
        <v>1929</v>
      </c>
      <c r="D1471">
        <v>24.14</v>
      </c>
      <c r="E1471">
        <v>0.02941176470588235</v>
      </c>
      <c r="F1471">
        <v>0.04117647058823515</v>
      </c>
      <c r="G1471">
        <v>0.03365688434519343</v>
      </c>
      <c r="H1471">
        <v>0.6884575568376851</v>
      </c>
      <c r="I1471">
        <v>1501.204633</v>
      </c>
      <c r="J1471">
        <v>0</v>
      </c>
      <c r="K1471" t="s">
        <v>1921</v>
      </c>
      <c r="L1471">
        <v>1.312221010990262</v>
      </c>
      <c r="M1471">
        <v>79.5</v>
      </c>
      <c r="N1471">
        <v>24</v>
      </c>
    </row>
    <row r="1472" spans="1:14">
      <c r="A1472" s="1" t="s">
        <v>1484</v>
      </c>
      <c r="B1472">
        <f>HYPERLINK("https://www.suredividend.com/sure-analysis-research-database/","Sanderson Farms, Inc.")</f>
        <v>0</v>
      </c>
      <c r="C1472" t="s">
        <v>1928</v>
      </c>
      <c r="D1472">
        <v>204</v>
      </c>
      <c r="E1472">
        <v>0</v>
      </c>
      <c r="H1472">
        <v>1.759999990463256</v>
      </c>
      <c r="I1472">
        <v>0</v>
      </c>
      <c r="J1472">
        <v>0</v>
      </c>
      <c r="K1472">
        <v>0.04553686909348657</v>
      </c>
    </row>
    <row r="1473" spans="1:14">
      <c r="A1473" s="1" t="s">
        <v>1485</v>
      </c>
      <c r="B1473">
        <f>HYPERLINK("https://www.suredividend.com/sure-analysis-research-database/","Safety Insurance Group, Inc.")</f>
        <v>0</v>
      </c>
      <c r="C1473" t="s">
        <v>1923</v>
      </c>
      <c r="D1473">
        <v>78.29000000000001</v>
      </c>
      <c r="E1473">
        <v>0.04552424444214</v>
      </c>
      <c r="F1473">
        <v>0</v>
      </c>
      <c r="G1473">
        <v>0.02383625553960966</v>
      </c>
      <c r="H1473">
        <v>3.564093097375151</v>
      </c>
      <c r="I1473">
        <v>1154.011589</v>
      </c>
      <c r="J1473">
        <v>15.7134514634877</v>
      </c>
      <c r="K1473">
        <v>0.7185671567288612</v>
      </c>
      <c r="L1473">
        <v>0.273123157987573</v>
      </c>
      <c r="M1473">
        <v>98.77</v>
      </c>
      <c r="N1473">
        <v>74.83</v>
      </c>
    </row>
    <row r="1474" spans="1:14">
      <c r="A1474" s="1" t="s">
        <v>1486</v>
      </c>
      <c r="B1474">
        <f>HYPERLINK("https://www.suredividend.com/sure-analysis-research-database/","Sonic Automotive, Inc.")</f>
        <v>0</v>
      </c>
      <c r="C1474" t="s">
        <v>1927</v>
      </c>
      <c r="D1474">
        <v>43.62</v>
      </c>
      <c r="E1474">
        <v>0.019800110298442</v>
      </c>
      <c r="F1474">
        <v>1.083333333333333</v>
      </c>
      <c r="G1474">
        <v>0.3797296614612149</v>
      </c>
      <c r="H1474">
        <v>0.8636808112180421</v>
      </c>
      <c r="I1474">
        <v>1188.051681</v>
      </c>
      <c r="J1474">
        <v>3.185697379314783</v>
      </c>
      <c r="K1474">
        <v>0.09748090420068195</v>
      </c>
      <c r="L1474">
        <v>1.11426855071168</v>
      </c>
      <c r="M1474">
        <v>58.86</v>
      </c>
      <c r="N1474">
        <v>33.98</v>
      </c>
    </row>
    <row r="1475" spans="1:14">
      <c r="A1475" s="1" t="s">
        <v>1487</v>
      </c>
      <c r="B1475">
        <f>HYPERLINK("https://www.suredividend.com/sure-analysis-research-database/","Saia Inc.")</f>
        <v>0</v>
      </c>
      <c r="C1475" t="s">
        <v>1924</v>
      </c>
      <c r="D1475">
        <v>202.25</v>
      </c>
      <c r="E1475">
        <v>0</v>
      </c>
      <c r="H1475">
        <v>0</v>
      </c>
      <c r="I1475">
        <v>5341.773606</v>
      </c>
      <c r="J1475">
        <v>15.61287548627897</v>
      </c>
      <c r="K1475">
        <v>0</v>
      </c>
      <c r="L1475">
        <v>1.630751893853633</v>
      </c>
      <c r="M1475">
        <v>365.5</v>
      </c>
      <c r="N1475">
        <v>168.03</v>
      </c>
    </row>
    <row r="1476" spans="1:14">
      <c r="A1476" s="1" t="s">
        <v>1488</v>
      </c>
      <c r="B1476">
        <f>HYPERLINK("https://www.suredividend.com/sure-analysis-research-database/","SailPoint Technologies Holdings Inc")</f>
        <v>0</v>
      </c>
      <c r="C1476" t="s">
        <v>1920</v>
      </c>
      <c r="D1476">
        <v>65.23999999999999</v>
      </c>
      <c r="E1476">
        <v>0</v>
      </c>
      <c r="H1476">
        <v>0</v>
      </c>
      <c r="I1476">
        <v>6185.556996</v>
      </c>
      <c r="J1476" t="s">
        <v>1921</v>
      </c>
      <c r="K1476">
        <v>-0</v>
      </c>
      <c r="L1476">
        <v>0.5383165590719741</v>
      </c>
      <c r="M1476">
        <v>65.23999999999999</v>
      </c>
      <c r="N1476">
        <v>34.98</v>
      </c>
    </row>
    <row r="1477" spans="1:14">
      <c r="A1477" s="1" t="s">
        <v>1489</v>
      </c>
      <c r="B1477">
        <f>HYPERLINK("https://www.suredividend.com/sure-analysis-research-database/","Sana Biotechnology Inc")</f>
        <v>0</v>
      </c>
      <c r="C1477" t="s">
        <v>1921</v>
      </c>
      <c r="D1477">
        <v>5.52</v>
      </c>
      <c r="E1477">
        <v>0</v>
      </c>
      <c r="H1477">
        <v>0</v>
      </c>
      <c r="I1477">
        <v>1050.079028</v>
      </c>
      <c r="J1477">
        <v>0</v>
      </c>
      <c r="K1477" t="s">
        <v>1921</v>
      </c>
      <c r="L1477">
        <v>2.311035786549635</v>
      </c>
      <c r="M1477">
        <v>23.5</v>
      </c>
      <c r="N1477">
        <v>3.93</v>
      </c>
    </row>
    <row r="1478" spans="1:14">
      <c r="A1478" s="1" t="s">
        <v>1490</v>
      </c>
      <c r="B1478">
        <f>HYPERLINK("https://www.suredividend.com/sure-analysis-research-database/","Sanmina Corp")</f>
        <v>0</v>
      </c>
      <c r="C1478" t="s">
        <v>1920</v>
      </c>
      <c r="D1478">
        <v>49.58</v>
      </c>
      <c r="E1478">
        <v>0</v>
      </c>
      <c r="H1478">
        <v>0</v>
      </c>
      <c r="I1478">
        <v>2865.93888</v>
      </c>
      <c r="J1478">
        <v>11.55797614037635</v>
      </c>
      <c r="K1478">
        <v>0</v>
      </c>
      <c r="L1478">
        <v>0.952689815897064</v>
      </c>
      <c r="M1478">
        <v>52.14</v>
      </c>
      <c r="N1478">
        <v>35.36</v>
      </c>
    </row>
    <row r="1479" spans="1:14">
      <c r="A1479" s="1" t="s">
        <v>1491</v>
      </c>
      <c r="B1479">
        <f>HYPERLINK("https://www.suredividend.com/sure-analysis-research-database/","Sandy Spring Bancorp")</f>
        <v>0</v>
      </c>
      <c r="C1479" t="s">
        <v>1923</v>
      </c>
      <c r="D1479">
        <v>36.12</v>
      </c>
      <c r="E1479">
        <v>0.03664769468817301</v>
      </c>
      <c r="F1479">
        <v>0.0625</v>
      </c>
      <c r="G1479">
        <v>0.05511819868320456</v>
      </c>
      <c r="H1479">
        <v>1.323714732136828</v>
      </c>
      <c r="I1479">
        <v>1612.550996</v>
      </c>
      <c r="J1479">
        <v>8.052045760538483</v>
      </c>
      <c r="K1479">
        <v>0.3029095496880613</v>
      </c>
      <c r="L1479">
        <v>0.7395371764459701</v>
      </c>
      <c r="M1479">
        <v>50.8</v>
      </c>
      <c r="N1479">
        <v>35.15</v>
      </c>
    </row>
    <row r="1480" spans="1:14">
      <c r="A1480" s="1" t="s">
        <v>1492</v>
      </c>
      <c r="B1480">
        <f>HYPERLINK("https://www.suredividend.com/sure-analysis-research-database/","EchoStar Corp")</f>
        <v>0</v>
      </c>
      <c r="C1480" t="s">
        <v>1920</v>
      </c>
      <c r="D1480">
        <v>17.7</v>
      </c>
      <c r="E1480">
        <v>0</v>
      </c>
      <c r="H1480">
        <v>0</v>
      </c>
      <c r="I1480">
        <v>628.090076</v>
      </c>
      <c r="J1480">
        <v>10.07167947628363</v>
      </c>
      <c r="K1480">
        <v>0</v>
      </c>
      <c r="L1480">
        <v>0.71401312847062</v>
      </c>
      <c r="M1480">
        <v>30.9</v>
      </c>
      <c r="N1480">
        <v>15.26</v>
      </c>
    </row>
    <row r="1481" spans="1:14">
      <c r="A1481" s="1" t="s">
        <v>1493</v>
      </c>
      <c r="B1481">
        <f>HYPERLINK("https://www.suredividend.com/sure-analysis-research-database/","Cassava Sciences Inc")</f>
        <v>0</v>
      </c>
      <c r="C1481" t="s">
        <v>1922</v>
      </c>
      <c r="D1481">
        <v>36.32</v>
      </c>
      <c r="E1481">
        <v>0</v>
      </c>
      <c r="H1481">
        <v>0</v>
      </c>
      <c r="I1481">
        <v>1456.356345</v>
      </c>
      <c r="J1481">
        <v>0</v>
      </c>
      <c r="K1481" t="s">
        <v>1921</v>
      </c>
      <c r="L1481">
        <v>1.198421688830424</v>
      </c>
      <c r="M1481">
        <v>100</v>
      </c>
      <c r="N1481">
        <v>13.84</v>
      </c>
    </row>
    <row r="1482" spans="1:14">
      <c r="A1482" s="1" t="s">
        <v>1494</v>
      </c>
      <c r="B1482">
        <f>HYPERLINK("https://www.suredividend.com/sure-analysis-research-database/","Spirit Airlines Inc")</f>
        <v>0</v>
      </c>
      <c r="C1482" t="s">
        <v>1924</v>
      </c>
      <c r="D1482">
        <v>18.26</v>
      </c>
      <c r="E1482">
        <v>0</v>
      </c>
      <c r="H1482">
        <v>0</v>
      </c>
      <c r="I1482">
        <v>1987.685745</v>
      </c>
      <c r="J1482" t="s">
        <v>1921</v>
      </c>
      <c r="K1482">
        <v>-0</v>
      </c>
      <c r="L1482">
        <v>1.176993805238612</v>
      </c>
      <c r="M1482">
        <v>28.3</v>
      </c>
      <c r="N1482">
        <v>15.92</v>
      </c>
    </row>
    <row r="1483" spans="1:14">
      <c r="A1483" s="1" t="s">
        <v>1495</v>
      </c>
      <c r="B1483">
        <f>HYPERLINK("https://www.suredividend.com/sure-analysis-research-database/","Safe Bulkers, Inc")</f>
        <v>0</v>
      </c>
      <c r="C1483" t="s">
        <v>1924</v>
      </c>
      <c r="D1483">
        <v>2.51</v>
      </c>
      <c r="E1483">
        <v>0.039573057568119</v>
      </c>
      <c r="H1483">
        <v>0.099328374495981</v>
      </c>
      <c r="I1483">
        <v>305.318506</v>
      </c>
      <c r="J1483">
        <v>1.551359991717774</v>
      </c>
      <c r="K1483">
        <v>0.06131381141727222</v>
      </c>
      <c r="L1483">
        <v>0.831287904150234</v>
      </c>
      <c r="M1483">
        <v>5.05</v>
      </c>
      <c r="N1483">
        <v>2.35</v>
      </c>
    </row>
    <row r="1484" spans="1:14">
      <c r="A1484" s="1" t="s">
        <v>1496</v>
      </c>
      <c r="B1484">
        <f>HYPERLINK("https://www.suredividend.com/sure-analysis-research-database/","Seacoast Banking Corp. Of Florida")</f>
        <v>0</v>
      </c>
      <c r="C1484" t="s">
        <v>1923</v>
      </c>
      <c r="D1484">
        <v>30.85</v>
      </c>
      <c r="E1484">
        <v>0.019312993941569</v>
      </c>
      <c r="H1484">
        <v>0.595805863097427</v>
      </c>
      <c r="I1484">
        <v>1894.628471</v>
      </c>
      <c r="J1484">
        <v>16.82364537370024</v>
      </c>
      <c r="K1484">
        <v>0.3169180122858655</v>
      </c>
      <c r="L1484">
        <v>0.7065849063388121</v>
      </c>
      <c r="M1484">
        <v>38.74</v>
      </c>
      <c r="N1484">
        <v>30.12</v>
      </c>
    </row>
    <row r="1485" spans="1:14">
      <c r="A1485" s="1" t="s">
        <v>1497</v>
      </c>
      <c r="B1485">
        <f>HYPERLINK("https://www.suredividend.com/sure-analysis-research-database/","Sinclair Broadcast Group, Inc.")</f>
        <v>0</v>
      </c>
      <c r="C1485" t="s">
        <v>1931</v>
      </c>
      <c r="D1485">
        <v>18.85</v>
      </c>
      <c r="E1485">
        <v>0.049897663092171</v>
      </c>
      <c r="F1485">
        <v>0.25</v>
      </c>
      <c r="G1485">
        <v>0.06790716584560208</v>
      </c>
      <c r="H1485">
        <v>0.940570949287424</v>
      </c>
      <c r="I1485">
        <v>868.54195</v>
      </c>
      <c r="J1485">
        <v>0.346584975897845</v>
      </c>
      <c r="K1485">
        <v>0.02754234112115444</v>
      </c>
      <c r="L1485">
        <v>0.9606435284233811</v>
      </c>
      <c r="M1485">
        <v>30.44</v>
      </c>
      <c r="N1485">
        <v>17.44</v>
      </c>
    </row>
    <row r="1486" spans="1:14">
      <c r="A1486" s="1" t="s">
        <v>1498</v>
      </c>
      <c r="B1486">
        <f>HYPERLINK("https://www.suredividend.com/sure-analysis-research-database/","Sally Beauty Holdings Inc")</f>
        <v>0</v>
      </c>
      <c r="C1486" t="s">
        <v>1927</v>
      </c>
      <c r="D1486">
        <v>12.39</v>
      </c>
      <c r="E1486">
        <v>0</v>
      </c>
      <c r="H1486">
        <v>0</v>
      </c>
      <c r="I1486">
        <v>1325.939874</v>
      </c>
      <c r="J1486">
        <v>5.755896693942578</v>
      </c>
      <c r="K1486">
        <v>0</v>
      </c>
      <c r="L1486">
        <v>1.191836870747964</v>
      </c>
      <c r="M1486">
        <v>21.86</v>
      </c>
      <c r="N1486">
        <v>11.28</v>
      </c>
    </row>
    <row r="1487" spans="1:14">
      <c r="A1487" s="1" t="s">
        <v>1499</v>
      </c>
      <c r="B1487">
        <f>HYPERLINK("https://www.suredividend.com/sure-analysis-SBRA/","Sabra Healthcare REIT Inc")</f>
        <v>0</v>
      </c>
      <c r="C1487" t="s">
        <v>1929</v>
      </c>
      <c r="D1487">
        <v>12.26</v>
      </c>
      <c r="E1487">
        <v>0.09787928221859706</v>
      </c>
      <c r="F1487">
        <v>0</v>
      </c>
      <c r="G1487">
        <v>0.3374263274358476</v>
      </c>
      <c r="H1487">
        <v>1.163326656876328</v>
      </c>
      <c r="I1487">
        <v>2831.678371</v>
      </c>
      <c r="J1487">
        <v>65.43148487002334</v>
      </c>
      <c r="K1487">
        <v>6.119551061948069</v>
      </c>
      <c r="L1487">
        <v>0.6395194152813171</v>
      </c>
      <c r="M1487">
        <v>16.3</v>
      </c>
      <c r="N1487">
        <v>10.97</v>
      </c>
    </row>
    <row r="1488" spans="1:14">
      <c r="A1488" s="1" t="s">
        <v>1500</v>
      </c>
      <c r="B1488">
        <f>HYPERLINK("https://www.suredividend.com/sure-analysis-SBSI/","Southside Bancshares Inc")</f>
        <v>0</v>
      </c>
      <c r="C1488" t="s">
        <v>1923</v>
      </c>
      <c r="D1488">
        <v>35.69</v>
      </c>
      <c r="E1488">
        <v>0.03810591202017372</v>
      </c>
      <c r="F1488">
        <v>4.666666666666667</v>
      </c>
      <c r="G1488">
        <v>0.762340347832317</v>
      </c>
      <c r="H1488">
        <v>1.333480727241716</v>
      </c>
      <c r="I1488">
        <v>1145.781481</v>
      </c>
      <c r="J1488">
        <v>10.57052494861339</v>
      </c>
      <c r="K1488">
        <v>0.3992457267190767</v>
      </c>
      <c r="L1488">
        <v>0.483074383035079</v>
      </c>
      <c r="M1488">
        <v>44.19</v>
      </c>
      <c r="N1488">
        <v>35.3</v>
      </c>
    </row>
    <row r="1489" spans="1:14">
      <c r="A1489" s="1" t="s">
        <v>1501</v>
      </c>
      <c r="B1489">
        <f>HYPERLINK("https://www.suredividend.com/sure-analysis-research-database/","Silverback Therapeutics Inc")</f>
        <v>0</v>
      </c>
      <c r="C1489" t="s">
        <v>1921</v>
      </c>
      <c r="D1489">
        <v>5.04</v>
      </c>
      <c r="E1489">
        <v>0</v>
      </c>
      <c r="H1489">
        <v>0</v>
      </c>
      <c r="I1489">
        <v>178.788159</v>
      </c>
      <c r="J1489">
        <v>0</v>
      </c>
      <c r="K1489" t="s">
        <v>1921</v>
      </c>
      <c r="L1489">
        <v>1.064234525689372</v>
      </c>
      <c r="M1489">
        <v>10.45</v>
      </c>
      <c r="N1489">
        <v>2.8</v>
      </c>
    </row>
    <row r="1490" spans="1:14">
      <c r="A1490" s="1" t="s">
        <v>1502</v>
      </c>
      <c r="B1490">
        <f>HYPERLINK("https://www.suredividend.com/sure-analysis-SCHL/","Scholastic Corp.")</f>
        <v>0</v>
      </c>
      <c r="C1490" t="s">
        <v>1931</v>
      </c>
      <c r="D1490">
        <v>31.5</v>
      </c>
      <c r="E1490">
        <v>0.0253968253968254</v>
      </c>
      <c r="F1490">
        <v>0.3333333333333335</v>
      </c>
      <c r="G1490">
        <v>0.05922384104881218</v>
      </c>
      <c r="H1490">
        <v>0.6463052654240711</v>
      </c>
      <c r="I1490">
        <v>1031.605628</v>
      </c>
      <c r="J1490">
        <v>17.3088192533557</v>
      </c>
      <c r="K1490">
        <v>0.3847055151333756</v>
      </c>
      <c r="L1490">
        <v>0.4075953834999591</v>
      </c>
      <c r="M1490">
        <v>48.28</v>
      </c>
      <c r="N1490">
        <v>28.22</v>
      </c>
    </row>
    <row r="1491" spans="1:14">
      <c r="A1491" s="1" t="s">
        <v>1503</v>
      </c>
      <c r="B1491">
        <f>HYPERLINK("https://www.suredividend.com/sure-analysis-research-database/","Schnitzer Steel Industries, Inc.")</f>
        <v>0</v>
      </c>
      <c r="C1491" t="s">
        <v>1925</v>
      </c>
      <c r="D1491">
        <v>28.64</v>
      </c>
      <c r="E1491">
        <v>0.025997629666445</v>
      </c>
      <c r="F1491">
        <v>0</v>
      </c>
      <c r="G1491">
        <v>0</v>
      </c>
      <c r="H1491">
        <v>0.744572113647002</v>
      </c>
      <c r="I1491">
        <v>780.354338</v>
      </c>
      <c r="J1491">
        <v>3.877864653212942</v>
      </c>
      <c r="K1491">
        <v>0.1101438037939352</v>
      </c>
      <c r="L1491">
        <v>1.303911870472968</v>
      </c>
      <c r="M1491">
        <v>59.36</v>
      </c>
      <c r="N1491">
        <v>28.04</v>
      </c>
    </row>
    <row r="1492" spans="1:14">
      <c r="A1492" s="1" t="s">
        <v>1504</v>
      </c>
      <c r="B1492">
        <f>HYPERLINK("https://www.suredividend.com/sure-analysis-SCL/","Stepan Co.")</f>
        <v>0</v>
      </c>
      <c r="C1492" t="s">
        <v>1925</v>
      </c>
      <c r="D1492">
        <v>94.08</v>
      </c>
      <c r="E1492">
        <v>0.01424319727891157</v>
      </c>
      <c r="H1492">
        <v>1.333747544825982</v>
      </c>
      <c r="I1492">
        <v>2098.448191</v>
      </c>
      <c r="J1492">
        <v>13.910826587471</v>
      </c>
      <c r="K1492">
        <v>0.2048767349963106</v>
      </c>
      <c r="L1492">
        <v>0.7162957653444531</v>
      </c>
      <c r="M1492">
        <v>127.78</v>
      </c>
      <c r="N1492">
        <v>92.18000000000001</v>
      </c>
    </row>
    <row r="1493" spans="1:14">
      <c r="A1493" s="1" t="s">
        <v>1505</v>
      </c>
      <c r="B1493">
        <f>HYPERLINK("https://www.suredividend.com/sure-analysis-research-database/","Comscore Inc.")</f>
        <v>0</v>
      </c>
      <c r="C1493" t="s">
        <v>1931</v>
      </c>
      <c r="D1493">
        <v>1.4</v>
      </c>
      <c r="E1493">
        <v>0</v>
      </c>
      <c r="H1493">
        <v>0</v>
      </c>
      <c r="I1493">
        <v>128.781439</v>
      </c>
      <c r="J1493" t="s">
        <v>1921</v>
      </c>
      <c r="K1493">
        <v>-0</v>
      </c>
      <c r="L1493">
        <v>1.125236286233753</v>
      </c>
      <c r="M1493">
        <v>4.07</v>
      </c>
      <c r="N1493">
        <v>1.38</v>
      </c>
    </row>
    <row r="1494" spans="1:14">
      <c r="A1494" s="1" t="s">
        <v>1506</v>
      </c>
      <c r="B1494">
        <f>HYPERLINK("https://www.suredividend.com/sure-analysis-research-database/","Steelcase, Inc.")</f>
        <v>0</v>
      </c>
      <c r="C1494" t="s">
        <v>1924</v>
      </c>
      <c r="D1494">
        <v>7.04</v>
      </c>
      <c r="E1494">
        <v>0.07431635093830301</v>
      </c>
      <c r="F1494">
        <v>-0.3103448275862069</v>
      </c>
      <c r="G1494">
        <v>-0.04742766796683173</v>
      </c>
      <c r="H1494">
        <v>0.523187110605655</v>
      </c>
      <c r="I1494">
        <v>649.852812</v>
      </c>
      <c r="J1494">
        <v>42.47403996862745</v>
      </c>
      <c r="K1494">
        <v>3.981637067014117</v>
      </c>
      <c r="L1494">
        <v>1.020671102013443</v>
      </c>
      <c r="M1494">
        <v>12.42</v>
      </c>
      <c r="N1494">
        <v>6.43</v>
      </c>
    </row>
    <row r="1495" spans="1:14">
      <c r="A1495" s="1" t="s">
        <v>1507</v>
      </c>
      <c r="B1495">
        <f>HYPERLINK("https://www.suredividend.com/sure-analysis-research-database/","Scansource, Inc.")</f>
        <v>0</v>
      </c>
      <c r="C1495" t="s">
        <v>1920</v>
      </c>
      <c r="D1495">
        <v>26.86</v>
      </c>
      <c r="E1495">
        <v>0</v>
      </c>
      <c r="H1495">
        <v>0</v>
      </c>
      <c r="I1495">
        <v>676.532248</v>
      </c>
      <c r="J1495">
        <v>7.618777988918669</v>
      </c>
      <c r="K1495">
        <v>0</v>
      </c>
      <c r="L1495">
        <v>0.881000473042409</v>
      </c>
      <c r="M1495">
        <v>41.01</v>
      </c>
      <c r="N1495">
        <v>25.75</v>
      </c>
    </row>
    <row r="1496" spans="1:14">
      <c r="A1496" s="1" t="s">
        <v>1508</v>
      </c>
      <c r="B1496">
        <f>HYPERLINK("https://www.suredividend.com/sure-analysis-research-database/","Sculptor Capital Management Inc")</f>
        <v>0</v>
      </c>
      <c r="C1496" t="s">
        <v>1923</v>
      </c>
      <c r="D1496">
        <v>10.3</v>
      </c>
      <c r="E1496">
        <v>0.049713944686731</v>
      </c>
      <c r="H1496">
        <v>0.5120536302733301</v>
      </c>
      <c r="I1496">
        <v>256.019478</v>
      </c>
      <c r="J1496" t="s">
        <v>1921</v>
      </c>
      <c r="K1496" t="s">
        <v>1921</v>
      </c>
      <c r="L1496">
        <v>1.383769447659505</v>
      </c>
      <c r="M1496">
        <v>26.83</v>
      </c>
      <c r="N1496">
        <v>7.8</v>
      </c>
    </row>
    <row r="1497" spans="1:14">
      <c r="A1497" s="1" t="s">
        <v>1509</v>
      </c>
      <c r="B1497">
        <f>HYPERLINK("https://www.suredividend.com/sure-analysis-research-database/","Shoe Carnival, Inc.")</f>
        <v>0</v>
      </c>
      <c r="C1497" t="s">
        <v>1927</v>
      </c>
      <c r="D1497">
        <v>22.39</v>
      </c>
      <c r="E1497">
        <v>0.015099159043902</v>
      </c>
      <c r="F1497">
        <v>0.2857142857142856</v>
      </c>
      <c r="G1497">
        <v>0.03713728933664817</v>
      </c>
      <c r="H1497">
        <v>0.338070170992982</v>
      </c>
      <c r="I1497">
        <v>618.275087</v>
      </c>
      <c r="J1497">
        <v>5.01712274033741</v>
      </c>
      <c r="K1497">
        <v>0.08758294585310415</v>
      </c>
      <c r="L1497">
        <v>1.301753372938845</v>
      </c>
      <c r="M1497">
        <v>45.6</v>
      </c>
      <c r="N1497">
        <v>19.34</v>
      </c>
    </row>
    <row r="1498" spans="1:14">
      <c r="A1498" s="1" t="s">
        <v>1510</v>
      </c>
      <c r="B1498">
        <f>HYPERLINK("https://www.suredividend.com/sure-analysis-research-database/","SecureWorks Corp")</f>
        <v>0</v>
      </c>
      <c r="C1498" t="s">
        <v>1920</v>
      </c>
      <c r="D1498">
        <v>7.5</v>
      </c>
      <c r="E1498">
        <v>0</v>
      </c>
      <c r="H1498">
        <v>0</v>
      </c>
      <c r="I1498">
        <v>112.277843</v>
      </c>
      <c r="J1498" t="s">
        <v>1921</v>
      </c>
      <c r="K1498">
        <v>-0</v>
      </c>
      <c r="L1498">
        <v>0.8580451795724431</v>
      </c>
      <c r="M1498">
        <v>21.56</v>
      </c>
      <c r="N1498">
        <v>7.5</v>
      </c>
    </row>
    <row r="1499" spans="1:14">
      <c r="A1499" s="1" t="s">
        <v>1511</v>
      </c>
      <c r="B1499">
        <f>HYPERLINK("https://www.suredividend.com/sure-analysis-research-database/","Schrodinger Inc")</f>
        <v>0</v>
      </c>
      <c r="C1499" t="s">
        <v>1922</v>
      </c>
      <c r="D1499">
        <v>23.83</v>
      </c>
      <c r="E1499">
        <v>0</v>
      </c>
      <c r="H1499">
        <v>0</v>
      </c>
      <c r="I1499">
        <v>1478.137773</v>
      </c>
      <c r="J1499" t="s">
        <v>1921</v>
      </c>
      <c r="K1499">
        <v>-0</v>
      </c>
      <c r="L1499">
        <v>1.678481622965389</v>
      </c>
      <c r="M1499">
        <v>59.87</v>
      </c>
      <c r="N1499">
        <v>20.71</v>
      </c>
    </row>
    <row r="1500" spans="1:14">
      <c r="A1500" s="1" t="s">
        <v>1512</v>
      </c>
      <c r="B1500">
        <f>HYPERLINK("https://www.suredividend.com/sure-analysis-research-database/","Stronghold Digital Mining Inc")</f>
        <v>0</v>
      </c>
      <c r="C1500" t="s">
        <v>1921</v>
      </c>
      <c r="D1500">
        <v>0.963</v>
      </c>
      <c r="E1500">
        <v>0</v>
      </c>
      <c r="H1500">
        <v>0</v>
      </c>
      <c r="I1500">
        <v>19.352911</v>
      </c>
      <c r="J1500">
        <v>0</v>
      </c>
      <c r="K1500" t="s">
        <v>1921</v>
      </c>
      <c r="M1500">
        <v>35.8</v>
      </c>
      <c r="N1500">
        <v>0.9606</v>
      </c>
    </row>
    <row r="1501" spans="1:14">
      <c r="A1501" s="1" t="s">
        <v>1513</v>
      </c>
      <c r="B1501">
        <f>HYPERLINK("https://www.suredividend.com/sure-analysis-research-database/","SeaWorld Entertainment Inc")</f>
        <v>0</v>
      </c>
      <c r="C1501" t="s">
        <v>1927</v>
      </c>
      <c r="D1501">
        <v>47.17</v>
      </c>
      <c r="E1501">
        <v>0</v>
      </c>
      <c r="H1501">
        <v>0</v>
      </c>
      <c r="I1501">
        <v>3189.518749</v>
      </c>
      <c r="J1501">
        <v>11.34018854073484</v>
      </c>
      <c r="K1501">
        <v>0</v>
      </c>
      <c r="L1501">
        <v>1.398685255631695</v>
      </c>
      <c r="M1501">
        <v>76.56999999999999</v>
      </c>
      <c r="N1501">
        <v>40.01</v>
      </c>
    </row>
    <row r="1502" spans="1:14">
      <c r="A1502" s="1" t="s">
        <v>1514</v>
      </c>
      <c r="B1502">
        <f>HYPERLINK("https://www.suredividend.com/sure-analysis-research-database/","Seelos Therapeutics Inc")</f>
        <v>0</v>
      </c>
      <c r="C1502" t="s">
        <v>1922</v>
      </c>
      <c r="D1502">
        <v>0.9899</v>
      </c>
      <c r="E1502">
        <v>0</v>
      </c>
      <c r="H1502">
        <v>0</v>
      </c>
      <c r="I1502">
        <v>105.019256</v>
      </c>
      <c r="J1502">
        <v>0</v>
      </c>
      <c r="K1502" t="s">
        <v>1921</v>
      </c>
      <c r="L1502">
        <v>1.617481399322829</v>
      </c>
      <c r="M1502">
        <v>2.49</v>
      </c>
      <c r="N1502">
        <v>0.4803</v>
      </c>
    </row>
    <row r="1503" spans="1:14">
      <c r="A1503" s="1" t="s">
        <v>1515</v>
      </c>
      <c r="B1503">
        <f>HYPERLINK("https://www.suredividend.com/sure-analysis-research-database/","Seer Inc")</f>
        <v>0</v>
      </c>
      <c r="C1503" t="s">
        <v>1921</v>
      </c>
      <c r="D1503">
        <v>7.2</v>
      </c>
      <c r="E1503">
        <v>0</v>
      </c>
      <c r="H1503">
        <v>0</v>
      </c>
      <c r="I1503">
        <v>421.679066</v>
      </c>
      <c r="J1503">
        <v>0</v>
      </c>
      <c r="K1503" t="s">
        <v>1921</v>
      </c>
      <c r="L1503">
        <v>2.509706472087324</v>
      </c>
      <c r="M1503">
        <v>38.83</v>
      </c>
      <c r="N1503">
        <v>6.44</v>
      </c>
    </row>
    <row r="1504" spans="1:14">
      <c r="A1504" s="1" t="s">
        <v>1516</v>
      </c>
      <c r="B1504">
        <f>HYPERLINK("https://www.suredividend.com/sure-analysis-research-database/","Selecta Biosciences Inc")</f>
        <v>0</v>
      </c>
      <c r="C1504" t="s">
        <v>1922</v>
      </c>
      <c r="D1504">
        <v>1.52</v>
      </c>
      <c r="E1504">
        <v>0</v>
      </c>
      <c r="H1504">
        <v>0</v>
      </c>
      <c r="I1504">
        <v>232.124081</v>
      </c>
      <c r="J1504">
        <v>0</v>
      </c>
      <c r="K1504" t="s">
        <v>1921</v>
      </c>
      <c r="L1504">
        <v>1.35083121051022</v>
      </c>
      <c r="M1504">
        <v>4.51</v>
      </c>
      <c r="N1504">
        <v>0.6469</v>
      </c>
    </row>
    <row r="1505" spans="1:14">
      <c r="A1505" s="1" t="s">
        <v>1517</v>
      </c>
      <c r="B1505">
        <f>HYPERLINK("https://www.suredividend.com/sure-analysis-research-database/","Select Medical Holdings Corporation")</f>
        <v>0</v>
      </c>
      <c r="C1505" t="s">
        <v>1922</v>
      </c>
      <c r="D1505">
        <v>22.92</v>
      </c>
      <c r="E1505">
        <v>0.021659457607496</v>
      </c>
      <c r="H1505">
        <v>0.4964347683638081</v>
      </c>
      <c r="I1505">
        <v>2885.996439</v>
      </c>
      <c r="J1505">
        <v>12.92030872233837</v>
      </c>
      <c r="K1505">
        <v>0.2853073381401196</v>
      </c>
      <c r="L1505">
        <v>1.090742604692371</v>
      </c>
      <c r="M1505">
        <v>36.07</v>
      </c>
      <c r="N1505">
        <v>21.17</v>
      </c>
    </row>
    <row r="1506" spans="1:14">
      <c r="A1506" s="1" t="s">
        <v>1518</v>
      </c>
      <c r="B1506">
        <f>HYPERLINK("https://www.suredividend.com/sure-analysis-research-database/","Seneca Foods Corp.")</f>
        <v>0</v>
      </c>
      <c r="C1506" t="s">
        <v>1928</v>
      </c>
      <c r="D1506">
        <v>56.2</v>
      </c>
      <c r="E1506">
        <v>0</v>
      </c>
      <c r="H1506">
        <v>0</v>
      </c>
      <c r="I1506">
        <v>459.155155</v>
      </c>
      <c r="J1506">
        <v>10.9874645217641</v>
      </c>
      <c r="K1506">
        <v>0</v>
      </c>
      <c r="L1506">
        <v>0.485825606963753</v>
      </c>
      <c r="M1506">
        <v>63.56</v>
      </c>
      <c r="N1506">
        <v>41.54</v>
      </c>
    </row>
    <row r="1507" spans="1:14">
      <c r="A1507" s="1" t="s">
        <v>1519</v>
      </c>
      <c r="B1507">
        <f>HYPERLINK("https://www.suredividend.com/sure-analysis-research-database/","Senseonics Holdings Inc")</f>
        <v>0</v>
      </c>
      <c r="C1507" t="s">
        <v>1922</v>
      </c>
      <c r="D1507">
        <v>1.17</v>
      </c>
      <c r="E1507">
        <v>0</v>
      </c>
      <c r="H1507">
        <v>0</v>
      </c>
      <c r="I1507">
        <v>544.573292</v>
      </c>
      <c r="J1507">
        <v>0</v>
      </c>
      <c r="K1507" t="s">
        <v>1921</v>
      </c>
      <c r="L1507">
        <v>2.125463664028424</v>
      </c>
      <c r="M1507">
        <v>4.28</v>
      </c>
      <c r="N1507">
        <v>0.7701</v>
      </c>
    </row>
    <row r="1508" spans="1:14">
      <c r="A1508" s="1" t="s">
        <v>1520</v>
      </c>
      <c r="B1508">
        <f>HYPERLINK("https://www.suredividend.com/sure-analysis-research-database/","Sera Prognostics Inc")</f>
        <v>0</v>
      </c>
      <c r="C1508" t="s">
        <v>1921</v>
      </c>
      <c r="D1508">
        <v>1.71</v>
      </c>
      <c r="E1508">
        <v>0</v>
      </c>
      <c r="H1508">
        <v>0</v>
      </c>
      <c r="I1508">
        <v>50.610778</v>
      </c>
      <c r="J1508">
        <v>0</v>
      </c>
      <c r="K1508" t="s">
        <v>1921</v>
      </c>
      <c r="L1508">
        <v>0.8118809023369741</v>
      </c>
      <c r="M1508">
        <v>11.29</v>
      </c>
      <c r="N1508">
        <v>1.15</v>
      </c>
    </row>
    <row r="1509" spans="1:14">
      <c r="A1509" s="1" t="s">
        <v>1521</v>
      </c>
      <c r="B1509">
        <f>HYPERLINK("https://www.suredividend.com/sure-analysis-research-database/","Sesen Bio Inc.")</f>
        <v>0</v>
      </c>
      <c r="C1509" t="s">
        <v>1922</v>
      </c>
      <c r="D1509">
        <v>0.495</v>
      </c>
      <c r="E1509">
        <v>0</v>
      </c>
      <c r="H1509">
        <v>0</v>
      </c>
      <c r="I1509">
        <v>98.734504</v>
      </c>
      <c r="J1509">
        <v>0</v>
      </c>
      <c r="K1509" t="s">
        <v>1921</v>
      </c>
      <c r="L1509">
        <v>1.41788944583493</v>
      </c>
      <c r="M1509">
        <v>1.47</v>
      </c>
      <c r="N1509">
        <v>0.365</v>
      </c>
    </row>
    <row r="1510" spans="1:14">
      <c r="A1510" s="1" t="s">
        <v>1522</v>
      </c>
      <c r="B1510">
        <f>HYPERLINK("https://www.suredividend.com/sure-analysis-research-database/","ServisFirst Bancshares Inc")</f>
        <v>0</v>
      </c>
      <c r="C1510" t="s">
        <v>1923</v>
      </c>
      <c r="D1510">
        <v>82.7</v>
      </c>
      <c r="E1510">
        <v>0.011077631684208</v>
      </c>
      <c r="F1510">
        <v>0.1499999999999999</v>
      </c>
      <c r="G1510">
        <v>0.356911634828607</v>
      </c>
      <c r="H1510">
        <v>0.9161201402840461</v>
      </c>
      <c r="I1510">
        <v>4491.345617</v>
      </c>
      <c r="J1510">
        <v>19.87857614887204</v>
      </c>
      <c r="K1510">
        <v>0.2207518410323003</v>
      </c>
      <c r="L1510">
        <v>0.6572141666523</v>
      </c>
      <c r="M1510">
        <v>96.69</v>
      </c>
      <c r="N1510">
        <v>72.01000000000001</v>
      </c>
    </row>
    <row r="1511" spans="1:14">
      <c r="A1511" s="1" t="s">
        <v>1523</v>
      </c>
      <c r="B1511">
        <f>HYPERLINK("https://www.suredividend.com/sure-analysis-research-database/","Stitch Fix Inc")</f>
        <v>0</v>
      </c>
      <c r="C1511" t="s">
        <v>1927</v>
      </c>
      <c r="D1511">
        <v>3.93</v>
      </c>
      <c r="E1511">
        <v>0</v>
      </c>
      <c r="H1511">
        <v>0</v>
      </c>
      <c r="I1511">
        <v>335.629966</v>
      </c>
      <c r="J1511" t="s">
        <v>1921</v>
      </c>
      <c r="K1511">
        <v>-0</v>
      </c>
      <c r="L1511">
        <v>2.134528548883581</v>
      </c>
      <c r="M1511">
        <v>36.22</v>
      </c>
      <c r="N1511">
        <v>3.72</v>
      </c>
    </row>
    <row r="1512" spans="1:14">
      <c r="A1512" s="1" t="s">
        <v>1524</v>
      </c>
      <c r="B1512">
        <f>HYPERLINK("https://www.suredividend.com/sure-analysis-SFL/","SFL Corporation Ltd")</f>
        <v>0</v>
      </c>
      <c r="C1512" t="s">
        <v>1924</v>
      </c>
      <c r="D1512">
        <v>8.960000000000001</v>
      </c>
      <c r="E1512">
        <v>0.1026785714285714</v>
      </c>
      <c r="F1512">
        <v>0.5333333333333334</v>
      </c>
      <c r="G1512">
        <v>-0.08054186772004779</v>
      </c>
      <c r="H1512">
        <v>0.8057253044372571</v>
      </c>
      <c r="I1512">
        <v>1241.420428</v>
      </c>
      <c r="J1512">
        <v>5.700786761387381</v>
      </c>
      <c r="K1512">
        <v>0.5335929168458656</v>
      </c>
      <c r="L1512">
        <v>0.491218040719216</v>
      </c>
      <c r="M1512">
        <v>11.26</v>
      </c>
      <c r="N1512">
        <v>7.16</v>
      </c>
    </row>
    <row r="1513" spans="1:14">
      <c r="A1513" s="1" t="s">
        <v>1525</v>
      </c>
      <c r="B1513">
        <f>HYPERLINK("https://www.suredividend.com/sure-analysis-research-database/","Sprouts Farmers Market Inc")</f>
        <v>0</v>
      </c>
      <c r="C1513" t="s">
        <v>1928</v>
      </c>
      <c r="D1513">
        <v>27.7</v>
      </c>
      <c r="E1513">
        <v>0</v>
      </c>
      <c r="H1513">
        <v>0</v>
      </c>
      <c r="I1513">
        <v>2976.51109</v>
      </c>
      <c r="J1513">
        <v>11.88707259134421</v>
      </c>
      <c r="K1513">
        <v>0</v>
      </c>
      <c r="L1513">
        <v>0.582634541005972</v>
      </c>
      <c r="M1513">
        <v>35.34</v>
      </c>
      <c r="N1513">
        <v>21.42</v>
      </c>
    </row>
    <row r="1514" spans="1:14">
      <c r="A1514" s="1" t="s">
        <v>1526</v>
      </c>
      <c r="B1514">
        <f>HYPERLINK("https://www.suredividend.com/sure-analysis-research-database/","Simmons First National Corp.")</f>
        <v>0</v>
      </c>
      <c r="C1514" t="s">
        <v>1923</v>
      </c>
      <c r="D1514">
        <v>22.25</v>
      </c>
      <c r="E1514">
        <v>0.033307649638539</v>
      </c>
      <c r="F1514">
        <v>0.05555555555555558</v>
      </c>
      <c r="G1514">
        <v>-0.05340824260701438</v>
      </c>
      <c r="H1514">
        <v>0.7410952044575131</v>
      </c>
      <c r="I1514">
        <v>2855.065488</v>
      </c>
      <c r="J1514">
        <v>12.89900373859221</v>
      </c>
      <c r="K1514">
        <v>0.3900501076092174</v>
      </c>
      <c r="L1514">
        <v>0.7210178934376661</v>
      </c>
      <c r="M1514">
        <v>31.8</v>
      </c>
      <c r="N1514">
        <v>19.71</v>
      </c>
    </row>
    <row r="1515" spans="1:14">
      <c r="A1515" s="1" t="s">
        <v>1527</v>
      </c>
      <c r="B1515">
        <f>HYPERLINK("https://www.suredividend.com/sure-analysis-research-database/","Southern First Bancshares Inc")</f>
        <v>0</v>
      </c>
      <c r="C1515" t="s">
        <v>1923</v>
      </c>
      <c r="D1515">
        <v>41.81</v>
      </c>
      <c r="E1515">
        <v>0</v>
      </c>
      <c r="H1515">
        <v>0</v>
      </c>
      <c r="I1515">
        <v>334.130636</v>
      </c>
      <c r="J1515">
        <v>0</v>
      </c>
      <c r="K1515" t="s">
        <v>1921</v>
      </c>
      <c r="L1515">
        <v>0.630732068028076</v>
      </c>
      <c r="M1515">
        <v>65.59</v>
      </c>
      <c r="N1515">
        <v>41.6</v>
      </c>
    </row>
    <row r="1516" spans="1:14">
      <c r="A1516" s="1" t="s">
        <v>1528</v>
      </c>
      <c r="B1516">
        <f>HYPERLINK("https://www.suredividend.com/sure-analysis-research-database/","Shift Technologies Inc")</f>
        <v>0</v>
      </c>
      <c r="C1516" t="s">
        <v>1921</v>
      </c>
      <c r="D1516">
        <v>0.6051000000000001</v>
      </c>
      <c r="E1516">
        <v>0</v>
      </c>
      <c r="H1516">
        <v>0</v>
      </c>
      <c r="I1516">
        <v>51.327316</v>
      </c>
      <c r="J1516">
        <v>0</v>
      </c>
      <c r="K1516" t="s">
        <v>1921</v>
      </c>
      <c r="L1516">
        <v>2.05291627453717</v>
      </c>
      <c r="M1516">
        <v>7.58</v>
      </c>
      <c r="N1516">
        <v>0.6000000000000001</v>
      </c>
    </row>
    <row r="1517" spans="1:14">
      <c r="A1517" s="1" t="s">
        <v>1529</v>
      </c>
      <c r="B1517">
        <f>HYPERLINK("https://www.suredividend.com/sure-analysis-research-database/","Sweetgreen Inc")</f>
        <v>0</v>
      </c>
      <c r="C1517" t="s">
        <v>1923</v>
      </c>
      <c r="D1517">
        <v>17.87</v>
      </c>
      <c r="E1517">
        <v>0</v>
      </c>
      <c r="H1517">
        <v>0</v>
      </c>
      <c r="I1517">
        <v>1727.648923</v>
      </c>
      <c r="J1517" t="s">
        <v>1921</v>
      </c>
      <c r="K1517">
        <v>-0</v>
      </c>
      <c r="M1517">
        <v>56.2</v>
      </c>
      <c r="N1517">
        <v>10.78</v>
      </c>
    </row>
    <row r="1518" spans="1:14">
      <c r="A1518" s="1" t="s">
        <v>1530</v>
      </c>
      <c r="B1518">
        <f>HYPERLINK("https://www.suredividend.com/sure-analysis-research-database/","Superior Group of Companies Inc..")</f>
        <v>0</v>
      </c>
      <c r="C1518" t="s">
        <v>1927</v>
      </c>
      <c r="D1518">
        <v>8.98</v>
      </c>
      <c r="E1518">
        <v>0.057221986633677</v>
      </c>
      <c r="F1518">
        <v>0.1666666666666667</v>
      </c>
      <c r="G1518">
        <v>0.08063961960040023</v>
      </c>
      <c r="H1518">
        <v>0.51385343997042</v>
      </c>
      <c r="I1518">
        <v>146.53617</v>
      </c>
      <c r="J1518">
        <v>0</v>
      </c>
      <c r="K1518" t="s">
        <v>1921</v>
      </c>
      <c r="L1518">
        <v>0.9116766645607711</v>
      </c>
      <c r="M1518">
        <v>26.5</v>
      </c>
      <c r="N1518">
        <v>8.52</v>
      </c>
    </row>
    <row r="1519" spans="1:14">
      <c r="A1519" s="1" t="s">
        <v>1531</v>
      </c>
      <c r="B1519">
        <f>HYPERLINK("https://www.suredividend.com/sure-analysis-research-database/","SMART Global Holdings Inc")</f>
        <v>0</v>
      </c>
      <c r="C1519" t="s">
        <v>1920</v>
      </c>
      <c r="D1519">
        <v>13.3</v>
      </c>
      <c r="E1519">
        <v>0</v>
      </c>
      <c r="H1519">
        <v>0</v>
      </c>
      <c r="I1519">
        <v>664.887376</v>
      </c>
      <c r="J1519">
        <v>9.887095164168452</v>
      </c>
      <c r="K1519">
        <v>0</v>
      </c>
      <c r="L1519">
        <v>1.526322886586269</v>
      </c>
      <c r="M1519">
        <v>37.25</v>
      </c>
      <c r="N1519">
        <v>13.13</v>
      </c>
    </row>
    <row r="1520" spans="1:14">
      <c r="A1520" s="1" t="s">
        <v>1532</v>
      </c>
      <c r="B1520">
        <f>HYPERLINK("https://www.suredividend.com/sure-analysis-research-database/","Sight Sciences Inc")</f>
        <v>0</v>
      </c>
      <c r="C1520" t="s">
        <v>1921</v>
      </c>
      <c r="D1520">
        <v>5.9</v>
      </c>
      <c r="E1520">
        <v>0</v>
      </c>
      <c r="H1520">
        <v>0</v>
      </c>
      <c r="I1520">
        <v>282.17481</v>
      </c>
      <c r="J1520">
        <v>0</v>
      </c>
      <c r="K1520" t="s">
        <v>1921</v>
      </c>
      <c r="L1520">
        <v>1.707281097294424</v>
      </c>
      <c r="M1520">
        <v>27.7</v>
      </c>
      <c r="N1520">
        <v>5.88</v>
      </c>
    </row>
    <row r="1521" spans="1:14">
      <c r="A1521" s="1" t="s">
        <v>1533</v>
      </c>
      <c r="B1521">
        <f>HYPERLINK("https://www.suredividend.com/sure-analysis-research-database/","Sangamo Therapeutics Inc")</f>
        <v>0</v>
      </c>
      <c r="C1521" t="s">
        <v>1922</v>
      </c>
      <c r="D1521">
        <v>4.71</v>
      </c>
      <c r="E1521">
        <v>0</v>
      </c>
      <c r="H1521">
        <v>0</v>
      </c>
      <c r="I1521">
        <v>737.365134</v>
      </c>
      <c r="J1521" t="s">
        <v>1921</v>
      </c>
      <c r="K1521">
        <v>-0</v>
      </c>
      <c r="L1521">
        <v>1.659145169585444</v>
      </c>
      <c r="M1521">
        <v>11.49</v>
      </c>
      <c r="N1521">
        <v>3.12</v>
      </c>
    </row>
    <row r="1522" spans="1:14">
      <c r="A1522" s="1" t="s">
        <v>1534</v>
      </c>
      <c r="B1522">
        <f>HYPERLINK("https://www.suredividend.com/sure-analysis-research-database/","Surgery Partners Inc")</f>
        <v>0</v>
      </c>
      <c r="C1522" t="s">
        <v>1922</v>
      </c>
      <c r="D1522">
        <v>24.44</v>
      </c>
      <c r="E1522">
        <v>0</v>
      </c>
      <c r="H1522">
        <v>0</v>
      </c>
      <c r="I1522">
        <v>2198.018414</v>
      </c>
      <c r="J1522">
        <v>0</v>
      </c>
      <c r="K1522" t="s">
        <v>1921</v>
      </c>
      <c r="L1522">
        <v>1.890963675805508</v>
      </c>
      <c r="M1522">
        <v>63.87</v>
      </c>
      <c r="N1522">
        <v>23.33</v>
      </c>
    </row>
    <row r="1523" spans="1:14">
      <c r="A1523" s="1" t="s">
        <v>1535</v>
      </c>
      <c r="B1523">
        <f>HYPERLINK("https://www.suredividend.com/sure-analysis-research-database/","Sigilon Therapeutics Inc")</f>
        <v>0</v>
      </c>
      <c r="C1523" t="s">
        <v>1921</v>
      </c>
      <c r="D1523">
        <v>0.511</v>
      </c>
      <c r="E1523">
        <v>0</v>
      </c>
      <c r="H1523">
        <v>0</v>
      </c>
      <c r="I1523">
        <v>16.55602</v>
      </c>
      <c r="J1523">
        <v>0</v>
      </c>
      <c r="K1523" t="s">
        <v>1921</v>
      </c>
      <c r="L1523">
        <v>1.218183512525299</v>
      </c>
      <c r="M1523">
        <v>6.25</v>
      </c>
      <c r="N1523">
        <v>0.4301</v>
      </c>
    </row>
    <row r="1524" spans="1:14">
      <c r="A1524" s="1" t="s">
        <v>1536</v>
      </c>
      <c r="B1524">
        <f>HYPERLINK("https://www.suredividend.com/sure-analysis-research-database/","Shake Shack Inc")</f>
        <v>0</v>
      </c>
      <c r="C1524" t="s">
        <v>1927</v>
      </c>
      <c r="D1524">
        <v>47.59</v>
      </c>
      <c r="E1524">
        <v>0</v>
      </c>
      <c r="H1524">
        <v>0</v>
      </c>
      <c r="I1524">
        <v>1869.089826</v>
      </c>
      <c r="J1524" t="s">
        <v>1921</v>
      </c>
      <c r="K1524">
        <v>-0</v>
      </c>
      <c r="L1524">
        <v>1.693673896137123</v>
      </c>
      <c r="M1524">
        <v>100.85</v>
      </c>
      <c r="N1524">
        <v>37.72</v>
      </c>
    </row>
    <row r="1525" spans="1:14">
      <c r="A1525" s="1" t="s">
        <v>1537</v>
      </c>
      <c r="B1525">
        <f>HYPERLINK("https://www.suredividend.com/sure-analysis-research-database/","Shenandoah Telecommunications Co.")</f>
        <v>0</v>
      </c>
      <c r="C1525" t="s">
        <v>1931</v>
      </c>
      <c r="D1525">
        <v>16.21</v>
      </c>
      <c r="E1525">
        <v>0.004318322041827001</v>
      </c>
      <c r="H1525">
        <v>0.070000000298023</v>
      </c>
      <c r="I1525">
        <v>811.742756</v>
      </c>
      <c r="J1525">
        <v>0.9120090284475201</v>
      </c>
      <c r="K1525">
        <v>0.003945885022436472</v>
      </c>
      <c r="L1525">
        <v>0.691555403824608</v>
      </c>
      <c r="M1525">
        <v>31.59</v>
      </c>
      <c r="N1525">
        <v>15.63</v>
      </c>
    </row>
    <row r="1526" spans="1:14">
      <c r="A1526" s="1" t="s">
        <v>1538</v>
      </c>
      <c r="B1526">
        <f>HYPERLINK("https://www.suredividend.com/sure-analysis-research-database/","Sunstone Hotel Investors Inc")</f>
        <v>0</v>
      </c>
      <c r="C1526" t="s">
        <v>1929</v>
      </c>
      <c r="D1526">
        <v>9.6</v>
      </c>
      <c r="E1526">
        <v>0.005208333410943</v>
      </c>
      <c r="H1526">
        <v>0.050000000745058</v>
      </c>
      <c r="I1526">
        <v>2038.236902</v>
      </c>
      <c r="J1526">
        <v>13.89741722452152</v>
      </c>
      <c r="K1526">
        <v>0.07381163381319457</v>
      </c>
      <c r="L1526">
        <v>1.189481865260897</v>
      </c>
      <c r="M1526">
        <v>13.84</v>
      </c>
      <c r="N1526">
        <v>9.24</v>
      </c>
    </row>
    <row r="1527" spans="1:14">
      <c r="A1527" s="1" t="s">
        <v>1539</v>
      </c>
      <c r="B1527">
        <f>HYPERLINK("https://www.suredividend.com/sure-analysis-research-database/","Steven Madden Ltd.")</f>
        <v>0</v>
      </c>
      <c r="C1527" t="s">
        <v>1927</v>
      </c>
      <c r="D1527">
        <v>27.22</v>
      </c>
      <c r="E1527">
        <v>0.028401811035676</v>
      </c>
      <c r="H1527">
        <v>0.773097296391123</v>
      </c>
      <c r="I1527">
        <v>2150.387404</v>
      </c>
      <c r="J1527">
        <v>8.413030429495857</v>
      </c>
      <c r="K1527">
        <v>0.2423502496523897</v>
      </c>
      <c r="L1527">
        <v>1.171615462835719</v>
      </c>
      <c r="M1527">
        <v>50.47</v>
      </c>
      <c r="N1527">
        <v>26.36</v>
      </c>
    </row>
    <row r="1528" spans="1:14">
      <c r="A1528" s="1" t="s">
        <v>1540</v>
      </c>
      <c r="B1528">
        <f>HYPERLINK("https://www.suredividend.com/sure-analysis-research-database/","Shyft Group Inc (The)")</f>
        <v>0</v>
      </c>
      <c r="C1528" t="s">
        <v>1921</v>
      </c>
      <c r="D1528">
        <v>20.1</v>
      </c>
      <c r="E1528">
        <v>0.008685721183063001</v>
      </c>
      <c r="H1528">
        <v>0.174582995779582</v>
      </c>
      <c r="I1528">
        <v>704.897392</v>
      </c>
      <c r="J1528">
        <v>16.46302618586076</v>
      </c>
      <c r="K1528">
        <v>0.1454858298163183</v>
      </c>
      <c r="L1528">
        <v>1.319488501511857</v>
      </c>
      <c r="M1528">
        <v>54.22</v>
      </c>
      <c r="N1528">
        <v>17.63</v>
      </c>
    </row>
    <row r="1529" spans="1:14">
      <c r="A1529" s="1" t="s">
        <v>1541</v>
      </c>
      <c r="B1529">
        <f>HYPERLINK("https://www.suredividend.com/sure-analysis-research-database/","Silvergate Capital Corp")</f>
        <v>0</v>
      </c>
      <c r="C1529" t="s">
        <v>1923</v>
      </c>
      <c r="D1529">
        <v>66.73999999999999</v>
      </c>
      <c r="E1529">
        <v>0</v>
      </c>
      <c r="H1529">
        <v>0</v>
      </c>
      <c r="I1529">
        <v>2112.806934</v>
      </c>
      <c r="J1529">
        <v>20.61637101090923</v>
      </c>
      <c r="K1529">
        <v>0</v>
      </c>
      <c r="L1529">
        <v>3.052651076560989</v>
      </c>
      <c r="M1529">
        <v>239.26</v>
      </c>
      <c r="N1529">
        <v>50.65</v>
      </c>
    </row>
    <row r="1530" spans="1:14">
      <c r="A1530" s="1" t="s">
        <v>1542</v>
      </c>
      <c r="B1530">
        <f>HYPERLINK("https://www.suredividend.com/sure-analysis-research-database/","SI-BONE Inc")</f>
        <v>0</v>
      </c>
      <c r="C1530" t="s">
        <v>1922</v>
      </c>
      <c r="D1530">
        <v>15.99</v>
      </c>
      <c r="E1530">
        <v>0</v>
      </c>
      <c r="H1530">
        <v>0</v>
      </c>
      <c r="I1530">
        <v>541.797885</v>
      </c>
      <c r="J1530">
        <v>0</v>
      </c>
      <c r="K1530" t="s">
        <v>1921</v>
      </c>
      <c r="L1530">
        <v>1.332874020212067</v>
      </c>
      <c r="M1530">
        <v>25</v>
      </c>
      <c r="N1530">
        <v>11.89</v>
      </c>
    </row>
    <row r="1531" spans="1:14">
      <c r="A1531" s="1" t="s">
        <v>1543</v>
      </c>
      <c r="B1531">
        <f>HYPERLINK("https://www.suredividend.com/sure-analysis-research-database/","Sientra Inc")</f>
        <v>0</v>
      </c>
      <c r="C1531" t="s">
        <v>1922</v>
      </c>
      <c r="D1531">
        <v>0.7553000000000001</v>
      </c>
      <c r="E1531">
        <v>0</v>
      </c>
      <c r="H1531">
        <v>0</v>
      </c>
      <c r="I1531">
        <v>47.413587</v>
      </c>
      <c r="J1531">
        <v>0</v>
      </c>
      <c r="K1531" t="s">
        <v>1921</v>
      </c>
      <c r="L1531">
        <v>1.397971673368526</v>
      </c>
      <c r="M1531">
        <v>6.14</v>
      </c>
      <c r="N1531">
        <v>0.4786</v>
      </c>
    </row>
    <row r="1532" spans="1:14">
      <c r="A1532" s="1" t="s">
        <v>1544</v>
      </c>
      <c r="B1532">
        <f>HYPERLINK("https://www.suredividend.com/sure-analysis-research-database/","Signet Jewelers Ltd")</f>
        <v>0</v>
      </c>
      <c r="C1532" t="s">
        <v>1927</v>
      </c>
      <c r="D1532">
        <v>56.72</v>
      </c>
      <c r="E1532">
        <v>0.013340368832897</v>
      </c>
      <c r="H1532">
        <v>0.7566657202019581</v>
      </c>
      <c r="I1532">
        <v>2623.036195</v>
      </c>
      <c r="J1532">
        <v>6.039687302049274</v>
      </c>
      <c r="K1532">
        <v>0.1012939384473839</v>
      </c>
      <c r="L1532">
        <v>1.58068540732724</v>
      </c>
      <c r="M1532">
        <v>110.97</v>
      </c>
      <c r="N1532">
        <v>48.14</v>
      </c>
    </row>
    <row r="1533" spans="1:14">
      <c r="A1533" s="1" t="s">
        <v>1545</v>
      </c>
      <c r="B1533">
        <f>HYPERLINK("https://www.suredividend.com/sure-analysis-research-database/","SIGA Technologies Inc")</f>
        <v>0</v>
      </c>
      <c r="C1533" t="s">
        <v>1922</v>
      </c>
      <c r="D1533">
        <v>9.220000000000001</v>
      </c>
      <c r="E1533">
        <v>0</v>
      </c>
      <c r="H1533">
        <v>0</v>
      </c>
      <c r="I1533">
        <v>673.282635</v>
      </c>
      <c r="J1533">
        <v>9.381156469074046</v>
      </c>
      <c r="K1533">
        <v>0</v>
      </c>
      <c r="L1533">
        <v>0.909833899032185</v>
      </c>
      <c r="M1533">
        <v>26.99</v>
      </c>
      <c r="N1533">
        <v>5.49</v>
      </c>
    </row>
    <row r="1534" spans="1:14">
      <c r="A1534" s="1" t="s">
        <v>1546</v>
      </c>
      <c r="B1534">
        <f>HYPERLINK("https://www.suredividend.com/sure-analysis-research-database/","Selective Insurance Group Inc.")</f>
        <v>0</v>
      </c>
      <c r="C1534" t="s">
        <v>1923</v>
      </c>
      <c r="D1534">
        <v>86.31</v>
      </c>
      <c r="E1534">
        <v>0.012907248515444</v>
      </c>
      <c r="F1534">
        <v>0.1200000000000001</v>
      </c>
      <c r="G1534">
        <v>0.09238846414037316</v>
      </c>
      <c r="H1534">
        <v>1.114024619368022</v>
      </c>
      <c r="I1534">
        <v>5207.051315</v>
      </c>
      <c r="J1534">
        <v>20.0785524254822</v>
      </c>
      <c r="K1534">
        <v>0.2615081266122118</v>
      </c>
      <c r="L1534">
        <v>0.5486746262498891</v>
      </c>
      <c r="M1534">
        <v>93.68000000000001</v>
      </c>
      <c r="N1534">
        <v>66.58</v>
      </c>
    </row>
    <row r="1535" spans="1:14">
      <c r="A1535" s="1" t="s">
        <v>1547</v>
      </c>
      <c r="B1535">
        <f>HYPERLINK("https://www.suredividend.com/sure-analysis-research-database/","Silk Road Medical Inc")</f>
        <v>0</v>
      </c>
      <c r="C1535" t="s">
        <v>1922</v>
      </c>
      <c r="D1535">
        <v>42.34</v>
      </c>
      <c r="E1535">
        <v>0</v>
      </c>
      <c r="H1535">
        <v>0</v>
      </c>
      <c r="I1535">
        <v>1492.063294</v>
      </c>
      <c r="J1535">
        <v>0</v>
      </c>
      <c r="K1535" t="s">
        <v>1921</v>
      </c>
      <c r="L1535">
        <v>1.831552435695133</v>
      </c>
      <c r="M1535">
        <v>63.22</v>
      </c>
      <c r="N1535">
        <v>27.21</v>
      </c>
    </row>
    <row r="1536" spans="1:14">
      <c r="A1536" s="1" t="s">
        <v>1548</v>
      </c>
      <c r="B1536">
        <f>HYPERLINK("https://www.suredividend.com/sure-analysis-research-database/","SITE Centers Corp")</f>
        <v>0</v>
      </c>
      <c r="C1536" t="s">
        <v>1929</v>
      </c>
      <c r="D1536">
        <v>10.81</v>
      </c>
      <c r="E1536">
        <v>0.0465375725192</v>
      </c>
      <c r="H1536">
        <v>0.5030711589325541</v>
      </c>
      <c r="I1536">
        <v>2313.794809</v>
      </c>
      <c r="J1536">
        <v>15.45910263195521</v>
      </c>
      <c r="K1536">
        <v>0.7170341489916677</v>
      </c>
      <c r="L1536">
        <v>0.9839126980491451</v>
      </c>
      <c r="M1536">
        <v>17.01</v>
      </c>
      <c r="N1536">
        <v>10.42</v>
      </c>
    </row>
    <row r="1537" spans="1:14">
      <c r="A1537" s="1" t="s">
        <v>1549</v>
      </c>
      <c r="B1537">
        <f>HYPERLINK("https://www.suredividend.com/sure-analysis-research-database/","SiTime Corp")</f>
        <v>0</v>
      </c>
      <c r="C1537" t="s">
        <v>1920</v>
      </c>
      <c r="D1537">
        <v>80.11</v>
      </c>
      <c r="E1537">
        <v>0</v>
      </c>
      <c r="H1537">
        <v>0</v>
      </c>
      <c r="I1537">
        <v>1705.260954</v>
      </c>
      <c r="J1537">
        <v>32.28560252622212</v>
      </c>
      <c r="K1537">
        <v>0</v>
      </c>
      <c r="L1537">
        <v>2.572281601020401</v>
      </c>
      <c r="M1537">
        <v>341.77</v>
      </c>
      <c r="N1537">
        <v>77.47</v>
      </c>
    </row>
    <row r="1538" spans="1:14">
      <c r="A1538" s="1" t="s">
        <v>1550</v>
      </c>
      <c r="B1538">
        <f>HYPERLINK("https://www.suredividend.com/sure-analysis-SJI/","South Jersey Industries Inc.")</f>
        <v>0</v>
      </c>
      <c r="C1538" t="s">
        <v>1930</v>
      </c>
      <c r="D1538">
        <v>33.32</v>
      </c>
      <c r="E1538">
        <v>0.03751500600240096</v>
      </c>
      <c r="F1538">
        <v>0.02479338842975198</v>
      </c>
      <c r="G1538">
        <v>0.02056514630321193</v>
      </c>
      <c r="H1538">
        <v>1.223389542129248</v>
      </c>
      <c r="I1538">
        <v>4078.615468</v>
      </c>
      <c r="J1538">
        <v>24.47795916338582</v>
      </c>
      <c r="K1538">
        <v>0.8615419310769352</v>
      </c>
      <c r="L1538">
        <v>0.31300097921615</v>
      </c>
      <c r="M1538">
        <v>34.66</v>
      </c>
      <c r="N1538">
        <v>20.83</v>
      </c>
    </row>
    <row r="1539" spans="1:14">
      <c r="A1539" s="1" t="s">
        <v>1551</v>
      </c>
      <c r="B1539">
        <f>HYPERLINK("https://www.suredividend.com/sure-analysis-SJW/","SJW Group")</f>
        <v>0</v>
      </c>
      <c r="C1539" t="s">
        <v>1930</v>
      </c>
      <c r="D1539">
        <v>59.46</v>
      </c>
      <c r="E1539">
        <v>0.02421796165489404</v>
      </c>
      <c r="F1539">
        <v>0.0588235294117645</v>
      </c>
      <c r="G1539">
        <v>0.1619052549059898</v>
      </c>
      <c r="H1539">
        <v>1.408216104738174</v>
      </c>
      <c r="I1539">
        <v>1798.526696</v>
      </c>
      <c r="J1539">
        <v>34.33482295521362</v>
      </c>
      <c r="K1539">
        <v>0.809319600424238</v>
      </c>
      <c r="L1539">
        <v>0.390138538877733</v>
      </c>
      <c r="M1539">
        <v>72.45</v>
      </c>
      <c r="N1539">
        <v>55.44</v>
      </c>
    </row>
    <row r="1540" spans="1:14">
      <c r="A1540" s="1" t="s">
        <v>1552</v>
      </c>
      <c r="B1540">
        <f>HYPERLINK("https://www.suredividend.com/sure-analysis-research-database/","Beauty Health Company (The)")</f>
        <v>0</v>
      </c>
      <c r="C1540" t="s">
        <v>1921</v>
      </c>
      <c r="D1540">
        <v>12.26</v>
      </c>
      <c r="E1540">
        <v>0</v>
      </c>
      <c r="H1540">
        <v>0</v>
      </c>
      <c r="I1540">
        <v>1849.869961</v>
      </c>
      <c r="J1540">
        <v>0</v>
      </c>
      <c r="K1540" t="s">
        <v>1921</v>
      </c>
      <c r="L1540">
        <v>2.119113861360856</v>
      </c>
      <c r="M1540">
        <v>30.17</v>
      </c>
      <c r="N1540">
        <v>9.949999999999999</v>
      </c>
    </row>
    <row r="1541" spans="1:14">
      <c r="A1541" s="1" t="s">
        <v>1553</v>
      </c>
      <c r="B1541">
        <f>HYPERLINK("https://www.suredividend.com/sure-analysis-SKT/","Tanger Factory Outlet Centers, Inc.")</f>
        <v>0</v>
      </c>
      <c r="C1541" t="s">
        <v>1929</v>
      </c>
      <c r="D1541">
        <v>14.73</v>
      </c>
      <c r="E1541">
        <v>0.05431093007467753</v>
      </c>
      <c r="H1541">
        <v>0.7515341651933211</v>
      </c>
      <c r="I1541">
        <v>1537.391886</v>
      </c>
      <c r="J1541">
        <v>36.87763884166087</v>
      </c>
      <c r="K1541">
        <v>1.892556447225689</v>
      </c>
      <c r="L1541">
        <v>1.110955135118875</v>
      </c>
      <c r="M1541">
        <v>21.71</v>
      </c>
      <c r="N1541">
        <v>13.26</v>
      </c>
    </row>
    <row r="1542" spans="1:14">
      <c r="A1542" s="1" t="s">
        <v>1554</v>
      </c>
      <c r="B1542">
        <f>HYPERLINK("https://www.suredividend.com/sure-analysis-research-database/","Skyline Champion Corp")</f>
        <v>0</v>
      </c>
      <c r="C1542" t="s">
        <v>1927</v>
      </c>
      <c r="D1542">
        <v>56.72</v>
      </c>
      <c r="E1542">
        <v>0</v>
      </c>
      <c r="H1542">
        <v>0</v>
      </c>
      <c r="I1542">
        <v>3226.750036</v>
      </c>
      <c r="J1542">
        <v>10.01182161504713</v>
      </c>
      <c r="K1542">
        <v>0</v>
      </c>
      <c r="L1542">
        <v>1.672270047777448</v>
      </c>
      <c r="M1542">
        <v>85.92</v>
      </c>
      <c r="N1542">
        <v>43.04</v>
      </c>
    </row>
    <row r="1543" spans="1:14">
      <c r="A1543" s="1" t="s">
        <v>1555</v>
      </c>
      <c r="B1543">
        <f>HYPERLINK("https://www.suredividend.com/sure-analysis-research-database/","SkyWater Technology Inc")</f>
        <v>0</v>
      </c>
      <c r="C1543" t="s">
        <v>1921</v>
      </c>
      <c r="D1543">
        <v>6.81</v>
      </c>
      <c r="E1543">
        <v>0</v>
      </c>
      <c r="H1543">
        <v>0</v>
      </c>
      <c r="I1543">
        <v>275.496405</v>
      </c>
      <c r="J1543">
        <v>0</v>
      </c>
      <c r="K1543" t="s">
        <v>1921</v>
      </c>
      <c r="L1543">
        <v>2.366105548685193</v>
      </c>
      <c r="M1543">
        <v>35.9</v>
      </c>
      <c r="N1543">
        <v>4.43</v>
      </c>
    </row>
    <row r="1544" spans="1:14">
      <c r="A1544" s="1" t="s">
        <v>1556</v>
      </c>
      <c r="B1544">
        <f>HYPERLINK("https://www.suredividend.com/sure-analysis-research-database/","Skywest Inc.")</f>
        <v>0</v>
      </c>
      <c r="C1544" t="s">
        <v>1924</v>
      </c>
      <c r="D1544">
        <v>17.45</v>
      </c>
      <c r="E1544">
        <v>0</v>
      </c>
      <c r="H1544">
        <v>0</v>
      </c>
      <c r="I1544">
        <v>882.752765</v>
      </c>
      <c r="J1544">
        <v>10.30037881646655</v>
      </c>
      <c r="K1544">
        <v>0</v>
      </c>
      <c r="L1544">
        <v>1.261562190669698</v>
      </c>
      <c r="M1544">
        <v>51.88</v>
      </c>
      <c r="N1544">
        <v>15.83</v>
      </c>
    </row>
    <row r="1545" spans="1:14">
      <c r="A1545" s="1" t="s">
        <v>1557</v>
      </c>
      <c r="B1545">
        <f>HYPERLINK("https://www.suredividend.com/sure-analysis-research-database/","Silicon Laboratories Inc")</f>
        <v>0</v>
      </c>
      <c r="C1545" t="s">
        <v>1920</v>
      </c>
      <c r="D1545">
        <v>124.04</v>
      </c>
      <c r="E1545">
        <v>0</v>
      </c>
      <c r="H1545">
        <v>0</v>
      </c>
      <c r="I1545">
        <v>4245.081452</v>
      </c>
      <c r="J1545">
        <v>1.993932104988257</v>
      </c>
      <c r="K1545">
        <v>0</v>
      </c>
      <c r="L1545">
        <v>1.303659822498904</v>
      </c>
      <c r="M1545">
        <v>211.98</v>
      </c>
      <c r="N1545">
        <v>113.48</v>
      </c>
    </row>
    <row r="1546" spans="1:14">
      <c r="A1546" s="1" t="s">
        <v>1558</v>
      </c>
      <c r="B1546">
        <f>HYPERLINK("https://www.suredividend.com/sure-analysis-research-database/","U.S. Silica Holdings Inc")</f>
        <v>0</v>
      </c>
      <c r="C1546" t="s">
        <v>1926</v>
      </c>
      <c r="D1546">
        <v>11.75</v>
      </c>
      <c r="E1546">
        <v>0</v>
      </c>
      <c r="H1546">
        <v>0</v>
      </c>
      <c r="I1546">
        <v>887.7777599999999</v>
      </c>
      <c r="J1546" t="s">
        <v>1921</v>
      </c>
      <c r="K1546">
        <v>-0</v>
      </c>
      <c r="L1546">
        <v>1.080358433810044</v>
      </c>
      <c r="M1546">
        <v>21.54</v>
      </c>
      <c r="N1546">
        <v>8.720000000000001</v>
      </c>
    </row>
    <row r="1547" spans="1:14">
      <c r="A1547" s="1" t="s">
        <v>1559</v>
      </c>
      <c r="B1547">
        <f>HYPERLINK("https://www.suredividend.com/sure-analysis-research-database/","Solid Biosciences Inc")</f>
        <v>0</v>
      </c>
      <c r="C1547" t="s">
        <v>1922</v>
      </c>
      <c r="D1547">
        <v>0.4569</v>
      </c>
      <c r="E1547">
        <v>0</v>
      </c>
      <c r="H1547">
        <v>0</v>
      </c>
      <c r="I1547">
        <v>51.625027</v>
      </c>
      <c r="J1547">
        <v>0</v>
      </c>
      <c r="K1547" t="s">
        <v>1921</v>
      </c>
      <c r="L1547">
        <v>1.033811223270063</v>
      </c>
      <c r="M1547">
        <v>2.51</v>
      </c>
      <c r="N1547">
        <v>0.4201</v>
      </c>
    </row>
    <row r="1548" spans="1:14">
      <c r="A1548" s="1" t="s">
        <v>1560</v>
      </c>
      <c r="B1548">
        <f>HYPERLINK("https://www.suredividend.com/sure-analysis-research-database/","Simulations Plus Inc.")</f>
        <v>0</v>
      </c>
      <c r="C1548" t="s">
        <v>1922</v>
      </c>
      <c r="D1548">
        <v>48.3</v>
      </c>
      <c r="E1548">
        <v>0.004960412535014</v>
      </c>
      <c r="F1548">
        <v>0</v>
      </c>
      <c r="G1548">
        <v>0</v>
      </c>
      <c r="H1548">
        <v>0.239587925441219</v>
      </c>
      <c r="I1548">
        <v>977.377645</v>
      </c>
      <c r="J1548">
        <v>0</v>
      </c>
      <c r="K1548" t="s">
        <v>1921</v>
      </c>
      <c r="L1548">
        <v>1.197290502482405</v>
      </c>
      <c r="M1548">
        <v>67.59</v>
      </c>
      <c r="N1548">
        <v>35.1</v>
      </c>
    </row>
    <row r="1549" spans="1:14">
      <c r="A1549" s="1" t="s">
        <v>1561</v>
      </c>
      <c r="B1549">
        <f>HYPERLINK("https://www.suredividend.com/sure-analysis-research-database/","SelectQuote Inc")</f>
        <v>0</v>
      </c>
      <c r="C1549" t="s">
        <v>1921</v>
      </c>
      <c r="D1549">
        <v>0.6548</v>
      </c>
      <c r="E1549">
        <v>0</v>
      </c>
      <c r="H1549">
        <v>0</v>
      </c>
      <c r="I1549">
        <v>108.487811</v>
      </c>
      <c r="J1549">
        <v>0</v>
      </c>
      <c r="K1549" t="s">
        <v>1921</v>
      </c>
      <c r="L1549">
        <v>2.028038824289991</v>
      </c>
      <c r="M1549">
        <v>14.4</v>
      </c>
      <c r="N1549">
        <v>0.6309</v>
      </c>
    </row>
    <row r="1550" spans="1:14">
      <c r="A1550" s="1" t="s">
        <v>1562</v>
      </c>
      <c r="B1550">
        <f>HYPERLINK("https://www.suredividend.com/sure-analysis-research-database/","SM Energy Co")</f>
        <v>0</v>
      </c>
      <c r="C1550" t="s">
        <v>1926</v>
      </c>
      <c r="D1550">
        <v>44.02</v>
      </c>
      <c r="E1550">
        <v>0.000454282871888</v>
      </c>
      <c r="H1550">
        <v>0.019997532020552</v>
      </c>
      <c r="I1550">
        <v>5396.581585</v>
      </c>
      <c r="J1550">
        <v>6.11343018134404</v>
      </c>
      <c r="K1550">
        <v>0.002889816765975723</v>
      </c>
      <c r="L1550">
        <v>1.292165868333675</v>
      </c>
      <c r="M1550">
        <v>54.97</v>
      </c>
      <c r="N1550">
        <v>25.22</v>
      </c>
    </row>
    <row r="1551" spans="1:14">
      <c r="A1551" s="1" t="s">
        <v>1563</v>
      </c>
      <c r="B1551">
        <f>HYPERLINK("https://www.suredividend.com/sure-analysis-research-database/","Southern Missouri Bancorp, Inc.")</f>
        <v>0</v>
      </c>
      <c r="C1551" t="s">
        <v>1923</v>
      </c>
      <c r="D1551">
        <v>51.12</v>
      </c>
      <c r="E1551">
        <v>0.015749278341925</v>
      </c>
      <c r="F1551">
        <v>0.04999999999999982</v>
      </c>
      <c r="G1551">
        <v>0.1380604263098537</v>
      </c>
      <c r="H1551">
        <v>0.8051031088392301</v>
      </c>
      <c r="I1551">
        <v>471.794199</v>
      </c>
      <c r="J1551">
        <v>0</v>
      </c>
      <c r="K1551" t="s">
        <v>1921</v>
      </c>
      <c r="L1551">
        <v>0.45448036602453</v>
      </c>
      <c r="M1551">
        <v>60.97</v>
      </c>
      <c r="N1551">
        <v>41.44</v>
      </c>
    </row>
    <row r="1552" spans="1:14">
      <c r="A1552" s="1" t="s">
        <v>1564</v>
      </c>
      <c r="B1552">
        <f>HYPERLINK("https://www.suredividend.com/sure-analysis-research-database/","SmartFinancial Inc")</f>
        <v>0</v>
      </c>
      <c r="C1552" t="s">
        <v>1923</v>
      </c>
      <c r="D1552">
        <v>24.76</v>
      </c>
      <c r="E1552">
        <v>0.010861621687848</v>
      </c>
      <c r="H1552">
        <v>0.268933752991122</v>
      </c>
      <c r="I1552">
        <v>418.404508</v>
      </c>
      <c r="J1552">
        <v>0</v>
      </c>
      <c r="K1552" t="s">
        <v>1921</v>
      </c>
      <c r="L1552">
        <v>0.492296658722554</v>
      </c>
      <c r="M1552">
        <v>28.4</v>
      </c>
      <c r="N1552">
        <v>22.51</v>
      </c>
    </row>
    <row r="1553" spans="1:14">
      <c r="A1553" s="1" t="s">
        <v>1565</v>
      </c>
      <c r="B1553">
        <f>HYPERLINK("https://www.suredividend.com/sure-analysis-research-database/","Super Micro Computer Inc")</f>
        <v>0</v>
      </c>
      <c r="C1553" t="s">
        <v>1920</v>
      </c>
      <c r="D1553">
        <v>56.25</v>
      </c>
      <c r="E1553">
        <v>0</v>
      </c>
      <c r="H1553">
        <v>0</v>
      </c>
      <c r="I1553">
        <v>2944.520944</v>
      </c>
      <c r="J1553">
        <v>10.32574683163664</v>
      </c>
      <c r="K1553">
        <v>0</v>
      </c>
      <c r="L1553">
        <v>1.542178218507686</v>
      </c>
      <c r="M1553">
        <v>74.93000000000001</v>
      </c>
      <c r="N1553">
        <v>34.11</v>
      </c>
    </row>
    <row r="1554" spans="1:14">
      <c r="A1554" s="1" t="s">
        <v>1566</v>
      </c>
      <c r="B1554">
        <f>HYPERLINK("https://www.suredividend.com/sure-analysis-research-database/","Sharps Compliance Corp.")</f>
        <v>0</v>
      </c>
      <c r="C1554" t="s">
        <v>1924</v>
      </c>
      <c r="D1554">
        <v>8.75</v>
      </c>
      <c r="E1554">
        <v>0</v>
      </c>
      <c r="H1554">
        <v>0</v>
      </c>
      <c r="I1554">
        <v>0</v>
      </c>
      <c r="J1554">
        <v>0</v>
      </c>
      <c r="K1554" t="s">
        <v>1921</v>
      </c>
    </row>
    <row r="1555" spans="1:14">
      <c r="A1555" s="1" t="s">
        <v>1567</v>
      </c>
      <c r="B1555">
        <f>HYPERLINK("https://www.suredividend.com/sure-analysis-research-database/","Summit Financial Group Inc")</f>
        <v>0</v>
      </c>
      <c r="C1555" t="s">
        <v>1923</v>
      </c>
      <c r="D1555">
        <v>26.73</v>
      </c>
      <c r="E1555">
        <v>0.027402405194429</v>
      </c>
      <c r="F1555">
        <v>0.1111111111111112</v>
      </c>
      <c r="G1555">
        <v>0.1270092020979254</v>
      </c>
      <c r="H1555">
        <v>0.732466290847088</v>
      </c>
      <c r="I1555">
        <v>341.514776</v>
      </c>
      <c r="J1555">
        <v>0</v>
      </c>
      <c r="K1555" t="s">
        <v>1921</v>
      </c>
      <c r="L1555">
        <v>0.5211655098584991</v>
      </c>
      <c r="M1555">
        <v>30.61</v>
      </c>
      <c r="N1555">
        <v>23.93</v>
      </c>
    </row>
    <row r="1556" spans="1:14">
      <c r="A1556" s="1" t="s">
        <v>1568</v>
      </c>
      <c r="B1556">
        <f>HYPERLINK("https://www.suredividend.com/sure-analysis-research-database/","Summit Therapeutics Inc")</f>
        <v>0</v>
      </c>
      <c r="C1556" t="s">
        <v>1922</v>
      </c>
      <c r="D1556">
        <v>1.13</v>
      </c>
      <c r="E1556">
        <v>0</v>
      </c>
      <c r="H1556">
        <v>0</v>
      </c>
      <c r="I1556">
        <v>110.878262</v>
      </c>
      <c r="J1556">
        <v>0</v>
      </c>
      <c r="K1556" t="s">
        <v>1921</v>
      </c>
      <c r="L1556">
        <v>0.5976782133842411</v>
      </c>
      <c r="M1556">
        <v>5.79</v>
      </c>
      <c r="N1556">
        <v>0.8801</v>
      </c>
    </row>
    <row r="1557" spans="1:14">
      <c r="A1557" s="1" t="s">
        <v>1569</v>
      </c>
      <c r="B1557">
        <f>HYPERLINK("https://www.suredividend.com/sure-analysis-research-database/","Standard Motor Products, Inc.")</f>
        <v>0</v>
      </c>
      <c r="C1557" t="s">
        <v>1927</v>
      </c>
      <c r="D1557">
        <v>33.62</v>
      </c>
      <c r="E1557">
        <v>0.031216734254516</v>
      </c>
      <c r="H1557">
        <v>1.049506605636834</v>
      </c>
      <c r="I1557">
        <v>733.9363</v>
      </c>
      <c r="J1557">
        <v>9.025730480594223</v>
      </c>
      <c r="K1557">
        <v>0.2899189518333796</v>
      </c>
      <c r="L1557">
        <v>0.628234462803965</v>
      </c>
      <c r="M1557">
        <v>54.01</v>
      </c>
      <c r="N1557">
        <v>31.61</v>
      </c>
    </row>
    <row r="1558" spans="1:14">
      <c r="A1558" s="1" t="s">
        <v>1570</v>
      </c>
      <c r="B1558">
        <f>HYPERLINK("https://www.suredividend.com/sure-analysis-research-database/","Simply Good Foods Co")</f>
        <v>0</v>
      </c>
      <c r="C1558" t="s">
        <v>1928</v>
      </c>
      <c r="D1558">
        <v>33.08</v>
      </c>
      <c r="E1558">
        <v>0</v>
      </c>
      <c r="H1558">
        <v>0</v>
      </c>
      <c r="I1558">
        <v>3320.262326</v>
      </c>
      <c r="J1558">
        <v>34.3381871072363</v>
      </c>
      <c r="K1558">
        <v>0</v>
      </c>
      <c r="L1558">
        <v>0.912363853667967</v>
      </c>
      <c r="M1558">
        <v>45.77</v>
      </c>
      <c r="N1558">
        <v>29.21</v>
      </c>
    </row>
    <row r="1559" spans="1:14">
      <c r="A1559" s="1" t="s">
        <v>1571</v>
      </c>
      <c r="B1559">
        <f>HYPERLINK("https://www.suredividend.com/sure-analysis-research-database/","Smith Micro Software, Inc.")</f>
        <v>0</v>
      </c>
      <c r="C1559" t="s">
        <v>1920</v>
      </c>
      <c r="D1559">
        <v>2.28</v>
      </c>
      <c r="E1559">
        <v>0</v>
      </c>
      <c r="H1559">
        <v>0</v>
      </c>
      <c r="I1559">
        <v>128.213816</v>
      </c>
      <c r="J1559" t="s">
        <v>1921</v>
      </c>
      <c r="K1559">
        <v>-0</v>
      </c>
      <c r="L1559">
        <v>1.2792635086595</v>
      </c>
      <c r="M1559">
        <v>6.52</v>
      </c>
      <c r="N1559">
        <v>2.11</v>
      </c>
    </row>
    <row r="1560" spans="1:14">
      <c r="A1560" s="1" t="s">
        <v>1572</v>
      </c>
      <c r="B1560">
        <f>HYPERLINK("https://www.suredividend.com/sure-analysis-research-database/","Semtech Corp.")</f>
        <v>0</v>
      </c>
      <c r="C1560" t="s">
        <v>1920</v>
      </c>
      <c r="D1560">
        <v>27.55</v>
      </c>
      <c r="E1560">
        <v>0</v>
      </c>
      <c r="H1560">
        <v>0</v>
      </c>
      <c r="I1560">
        <v>1749.875195</v>
      </c>
      <c r="J1560">
        <v>11.0139553276728</v>
      </c>
      <c r="K1560">
        <v>0</v>
      </c>
      <c r="L1560">
        <v>1.476870730014944</v>
      </c>
      <c r="M1560">
        <v>94.92</v>
      </c>
      <c r="N1560">
        <v>26.68</v>
      </c>
    </row>
    <row r="1561" spans="1:14">
      <c r="A1561" s="1" t="s">
        <v>1573</v>
      </c>
      <c r="B1561">
        <f>HYPERLINK("https://www.suredividend.com/sure-analysis-research-database/","Sleep Number Corp")</f>
        <v>0</v>
      </c>
      <c r="C1561" t="s">
        <v>1927</v>
      </c>
      <c r="D1561">
        <v>37.2</v>
      </c>
      <c r="E1561">
        <v>0</v>
      </c>
      <c r="H1561">
        <v>0</v>
      </c>
      <c r="I1561">
        <v>817.0608</v>
      </c>
      <c r="J1561">
        <v>8.020701096506299</v>
      </c>
      <c r="K1561">
        <v>0</v>
      </c>
      <c r="L1561">
        <v>1.407487710440316</v>
      </c>
      <c r="M1561">
        <v>97.94</v>
      </c>
      <c r="N1561">
        <v>29.68</v>
      </c>
    </row>
    <row r="1562" spans="1:14">
      <c r="A1562" s="1" t="s">
        <v>1574</v>
      </c>
      <c r="B1562">
        <f>HYPERLINK("https://www.suredividend.com/sure-analysis-research-database/","Sun Country Airlines Holdings Inc")</f>
        <v>0</v>
      </c>
      <c r="C1562" t="s">
        <v>1921</v>
      </c>
      <c r="D1562">
        <v>14.06</v>
      </c>
      <c r="E1562">
        <v>0</v>
      </c>
      <c r="H1562">
        <v>0</v>
      </c>
      <c r="I1562">
        <v>817.503248</v>
      </c>
      <c r="J1562">
        <v>0</v>
      </c>
      <c r="K1562" t="s">
        <v>1921</v>
      </c>
      <c r="L1562">
        <v>1.3566305005213</v>
      </c>
      <c r="M1562">
        <v>35.63</v>
      </c>
      <c r="N1562">
        <v>13.25</v>
      </c>
    </row>
    <row r="1563" spans="1:14">
      <c r="A1563" s="1" t="s">
        <v>1575</v>
      </c>
      <c r="B1563">
        <f>HYPERLINK("https://www.suredividend.com/sure-analysis-research-database/","Syndax Pharmaceuticals Inc")</f>
        <v>0</v>
      </c>
      <c r="C1563" t="s">
        <v>1922</v>
      </c>
      <c r="D1563">
        <v>23.5</v>
      </c>
      <c r="E1563">
        <v>0</v>
      </c>
      <c r="H1563">
        <v>0</v>
      </c>
      <c r="I1563">
        <v>1329.281378</v>
      </c>
      <c r="J1563">
        <v>1625.038358801956</v>
      </c>
      <c r="K1563">
        <v>0</v>
      </c>
      <c r="L1563">
        <v>0.9991222585035181</v>
      </c>
      <c r="M1563">
        <v>26.51</v>
      </c>
      <c r="N1563">
        <v>13.27</v>
      </c>
    </row>
    <row r="1564" spans="1:14">
      <c r="A1564" s="1" t="s">
        <v>1576</v>
      </c>
      <c r="B1564">
        <f>HYPERLINK("https://www.suredividend.com/sure-analysis-research-database/","StoneX Group Inc")</f>
        <v>0</v>
      </c>
      <c r="C1564" t="s">
        <v>1921</v>
      </c>
      <c r="D1564">
        <v>85.31</v>
      </c>
      <c r="E1564">
        <v>0</v>
      </c>
      <c r="H1564">
        <v>0</v>
      </c>
      <c r="I1564">
        <v>1728.514025</v>
      </c>
      <c r="J1564">
        <v>10.98166470673444</v>
      </c>
      <c r="K1564">
        <v>0</v>
      </c>
      <c r="L1564">
        <v>0.7037223058547091</v>
      </c>
      <c r="M1564">
        <v>98.13</v>
      </c>
      <c r="N1564">
        <v>52.31</v>
      </c>
    </row>
    <row r="1565" spans="1:14">
      <c r="A1565" s="1" t="s">
        <v>1577</v>
      </c>
      <c r="B1565">
        <f>HYPERLINK("https://www.suredividend.com/sure-analysis-research-database/","Snap One Holdings Corp")</f>
        <v>0</v>
      </c>
      <c r="C1565" t="s">
        <v>1921</v>
      </c>
      <c r="D1565">
        <v>10.28</v>
      </c>
      <c r="E1565">
        <v>0</v>
      </c>
      <c r="H1565">
        <v>0</v>
      </c>
      <c r="I1565">
        <v>779.784414</v>
      </c>
      <c r="J1565">
        <v>0</v>
      </c>
      <c r="K1565" t="s">
        <v>1921</v>
      </c>
      <c r="L1565">
        <v>1.688836868627287</v>
      </c>
      <c r="M1565">
        <v>24.5</v>
      </c>
      <c r="N1565">
        <v>8.9</v>
      </c>
    </row>
    <row r="1566" spans="1:14">
      <c r="A1566" s="1" t="s">
        <v>1578</v>
      </c>
      <c r="B1566">
        <f>HYPERLINK("https://www.suredividend.com/sure-analysis-research-database/","Sensei Biotherapeutics Inc")</f>
        <v>0</v>
      </c>
      <c r="C1566" t="s">
        <v>1921</v>
      </c>
      <c r="D1566">
        <v>1.54</v>
      </c>
      <c r="E1566">
        <v>0</v>
      </c>
      <c r="H1566">
        <v>0</v>
      </c>
      <c r="I1566">
        <v>47.309248</v>
      </c>
      <c r="J1566">
        <v>0</v>
      </c>
      <c r="K1566" t="s">
        <v>1921</v>
      </c>
      <c r="L1566">
        <v>1.041220383429836</v>
      </c>
      <c r="M1566">
        <v>10.1</v>
      </c>
      <c r="N1566">
        <v>1.45</v>
      </c>
    </row>
    <row r="1567" spans="1:14">
      <c r="A1567" s="1" t="s">
        <v>1579</v>
      </c>
      <c r="B1567">
        <f>HYPERLINK("https://www.suredividend.com/sure-analysis-research-database/","Solaris Oilfield Infrastructure Inc")</f>
        <v>0</v>
      </c>
      <c r="C1567" t="s">
        <v>1926</v>
      </c>
      <c r="D1567">
        <v>10.18</v>
      </c>
      <c r="E1567">
        <v>0.04068107719452</v>
      </c>
      <c r="H1567">
        <v>0.414133365840216</v>
      </c>
      <c r="I1567">
        <v>334.937097</v>
      </c>
      <c r="J1567">
        <v>33.15552335577114</v>
      </c>
      <c r="K1567">
        <v>1.279769362917849</v>
      </c>
      <c r="L1567">
        <v>0.8140184167523871</v>
      </c>
      <c r="M1567">
        <v>14.35</v>
      </c>
      <c r="N1567">
        <v>5.94</v>
      </c>
    </row>
    <row r="1568" spans="1:14">
      <c r="A1568" s="1" t="s">
        <v>1580</v>
      </c>
      <c r="B1568">
        <f>HYPERLINK("https://www.suredividend.com/sure-analysis-research-database/","Sonos Inc")</f>
        <v>0</v>
      </c>
      <c r="C1568" t="s">
        <v>1920</v>
      </c>
      <c r="D1568">
        <v>14.34</v>
      </c>
      <c r="E1568">
        <v>0</v>
      </c>
      <c r="H1568">
        <v>0</v>
      </c>
      <c r="I1568">
        <v>1824.798326</v>
      </c>
      <c r="J1568">
        <v>14.87130479487556</v>
      </c>
      <c r="K1568">
        <v>0</v>
      </c>
      <c r="L1568">
        <v>1.417901430177686</v>
      </c>
      <c r="M1568">
        <v>35.46</v>
      </c>
      <c r="N1568">
        <v>13.67</v>
      </c>
    </row>
    <row r="1569" spans="1:14">
      <c r="A1569" s="1" t="s">
        <v>1581</v>
      </c>
      <c r="B1569">
        <f>HYPERLINK("https://www.suredividend.com/sure-analysis-research-database/","Sovos Brands Inc")</f>
        <v>0</v>
      </c>
      <c r="C1569" t="s">
        <v>1921</v>
      </c>
      <c r="D1569">
        <v>13.82</v>
      </c>
      <c r="E1569">
        <v>0</v>
      </c>
      <c r="H1569">
        <v>0</v>
      </c>
      <c r="I1569">
        <v>1394.604158</v>
      </c>
      <c r="J1569">
        <v>0</v>
      </c>
      <c r="K1569" t="s">
        <v>1921</v>
      </c>
      <c r="L1569">
        <v>0.741221164427593</v>
      </c>
      <c r="M1569">
        <v>17.41</v>
      </c>
      <c r="N1569">
        <v>9.52</v>
      </c>
    </row>
    <row r="1570" spans="1:14">
      <c r="A1570" s="1" t="s">
        <v>1582</v>
      </c>
      <c r="B1570">
        <f>HYPERLINK("https://www.suredividend.com/sure-analysis-research-database/","SP Plus Corp")</f>
        <v>0</v>
      </c>
      <c r="C1570" t="s">
        <v>1924</v>
      </c>
      <c r="D1570">
        <v>33.17</v>
      </c>
      <c r="E1570">
        <v>0</v>
      </c>
      <c r="H1570">
        <v>0</v>
      </c>
      <c r="I1570">
        <v>772.075833</v>
      </c>
      <c r="J1570">
        <v>16.60378135333333</v>
      </c>
      <c r="K1570">
        <v>0</v>
      </c>
      <c r="L1570">
        <v>0.8377934295285441</v>
      </c>
      <c r="M1570">
        <v>37.17</v>
      </c>
      <c r="N1570">
        <v>25.29</v>
      </c>
    </row>
    <row r="1571" spans="1:14">
      <c r="A1571" s="1" t="s">
        <v>1583</v>
      </c>
      <c r="B1571">
        <f>HYPERLINK("https://www.suredividend.com/sure-analysis-research-database/","South Plains Financial Inc")</f>
        <v>0</v>
      </c>
      <c r="C1571" t="s">
        <v>1923</v>
      </c>
      <c r="D1571">
        <v>28.19</v>
      </c>
      <c r="E1571">
        <v>0.015158919545919</v>
      </c>
      <c r="H1571">
        <v>0.427329941999459</v>
      </c>
      <c r="I1571">
        <v>489.594364</v>
      </c>
      <c r="J1571">
        <v>0</v>
      </c>
      <c r="K1571" t="s">
        <v>1921</v>
      </c>
      <c r="L1571">
        <v>0.5694259306888251</v>
      </c>
      <c r="M1571">
        <v>29.62</v>
      </c>
      <c r="N1571">
        <v>22.37</v>
      </c>
    </row>
    <row r="1572" spans="1:14">
      <c r="A1572" s="1" t="s">
        <v>1584</v>
      </c>
      <c r="B1572">
        <f>HYPERLINK("https://www.suredividend.com/sure-analysis-research-database/","SeaSpine Holdings Corp")</f>
        <v>0</v>
      </c>
      <c r="C1572" t="s">
        <v>1922</v>
      </c>
      <c r="D1572">
        <v>5.57</v>
      </c>
      <c r="E1572">
        <v>0</v>
      </c>
      <c r="H1572">
        <v>0</v>
      </c>
      <c r="I1572">
        <v>207.136085</v>
      </c>
      <c r="J1572">
        <v>0</v>
      </c>
      <c r="K1572" t="s">
        <v>1921</v>
      </c>
      <c r="L1572">
        <v>1.211875765826514</v>
      </c>
      <c r="M1572">
        <v>16.65</v>
      </c>
      <c r="N1572">
        <v>5.49</v>
      </c>
    </row>
    <row r="1573" spans="1:14">
      <c r="A1573" s="1" t="s">
        <v>1585</v>
      </c>
      <c r="B1573">
        <f>HYPERLINK("https://www.suredividend.com/sure-analysis-research-database/","Sapiens International Corp NV")</f>
        <v>0</v>
      </c>
      <c r="C1573" t="s">
        <v>1920</v>
      </c>
      <c r="D1573">
        <v>18.17</v>
      </c>
      <c r="E1573">
        <v>0.038262222382776</v>
      </c>
      <c r="H1573">
        <v>0.695224580695047</v>
      </c>
      <c r="I1573">
        <v>1001.300277</v>
      </c>
      <c r="J1573">
        <v>18.97552071236355</v>
      </c>
      <c r="K1573">
        <v>0.732663695536987</v>
      </c>
      <c r="L1573">
        <v>1.136979326462201</v>
      </c>
      <c r="M1573">
        <v>37.2</v>
      </c>
      <c r="N1573">
        <v>18.11</v>
      </c>
    </row>
    <row r="1574" spans="1:14">
      <c r="A1574" s="1" t="s">
        <v>1586</v>
      </c>
      <c r="B1574">
        <f>HYPERLINK("https://www.suredividend.com/sure-analysis-research-database/","SiriusPoint Ltd")</f>
        <v>0</v>
      </c>
      <c r="C1574" t="s">
        <v>1921</v>
      </c>
      <c r="D1574">
        <v>5.07</v>
      </c>
      <c r="E1574">
        <v>0</v>
      </c>
      <c r="H1574">
        <v>0</v>
      </c>
      <c r="I1574">
        <v>823.097612</v>
      </c>
      <c r="J1574">
        <v>0</v>
      </c>
      <c r="K1574" t="s">
        <v>1921</v>
      </c>
      <c r="L1574">
        <v>0.6722774091936431</v>
      </c>
      <c r="M1574">
        <v>10</v>
      </c>
      <c r="N1574">
        <v>4.07</v>
      </c>
    </row>
    <row r="1575" spans="1:14">
      <c r="A1575" s="1" t="s">
        <v>1587</v>
      </c>
      <c r="B1575">
        <f>HYPERLINK("https://www.suredividend.com/sure-analysis-research-database/","Spectrum Pharmaceuticals, Inc.")</f>
        <v>0</v>
      </c>
      <c r="C1575" t="s">
        <v>1922</v>
      </c>
      <c r="D1575">
        <v>0.4101</v>
      </c>
      <c r="E1575">
        <v>0</v>
      </c>
      <c r="H1575">
        <v>0</v>
      </c>
      <c r="I1575">
        <v>77.166133</v>
      </c>
      <c r="J1575">
        <v>0</v>
      </c>
      <c r="K1575" t="s">
        <v>1921</v>
      </c>
      <c r="M1575">
        <v>2.45</v>
      </c>
      <c r="N1575">
        <v>0.41</v>
      </c>
    </row>
    <row r="1576" spans="1:14">
      <c r="A1576" s="1" t="s">
        <v>1588</v>
      </c>
      <c r="B1576">
        <f>HYPERLINK("https://www.suredividend.com/sure-analysis-research-database/","Spruce Biosciences Inc")</f>
        <v>0</v>
      </c>
      <c r="C1576" t="s">
        <v>1921</v>
      </c>
      <c r="D1576">
        <v>1.17</v>
      </c>
      <c r="E1576">
        <v>0</v>
      </c>
      <c r="H1576">
        <v>0</v>
      </c>
      <c r="I1576">
        <v>27.565493</v>
      </c>
      <c r="J1576">
        <v>0</v>
      </c>
      <c r="K1576" t="s">
        <v>1921</v>
      </c>
      <c r="L1576">
        <v>1.405995165424552</v>
      </c>
      <c r="M1576">
        <v>5.8</v>
      </c>
      <c r="N1576">
        <v>1.16</v>
      </c>
    </row>
    <row r="1577" spans="1:14">
      <c r="A1577" s="1" t="s">
        <v>1589</v>
      </c>
      <c r="B1577">
        <f>HYPERLINK("https://www.suredividend.com/sure-analysis-research-database/","Spero Therapeutics Inc")</f>
        <v>0</v>
      </c>
      <c r="C1577" t="s">
        <v>1922</v>
      </c>
      <c r="D1577">
        <v>1.96</v>
      </c>
      <c r="E1577">
        <v>0</v>
      </c>
      <c r="H1577">
        <v>0</v>
      </c>
      <c r="I1577">
        <v>68.73225499999999</v>
      </c>
      <c r="J1577">
        <v>0</v>
      </c>
      <c r="K1577" t="s">
        <v>1921</v>
      </c>
      <c r="L1577">
        <v>0.8284959240251401</v>
      </c>
      <c r="M1577">
        <v>18.35</v>
      </c>
      <c r="N1577">
        <v>0.6801</v>
      </c>
    </row>
    <row r="1578" spans="1:14">
      <c r="A1578" s="1" t="s">
        <v>1590</v>
      </c>
      <c r="B1578">
        <f>HYPERLINK("https://www.suredividend.com/sure-analysis-research-database/","SPS Commerce Inc.")</f>
        <v>0</v>
      </c>
      <c r="C1578" t="s">
        <v>1920</v>
      </c>
      <c r="D1578">
        <v>124.28</v>
      </c>
      <c r="E1578">
        <v>0</v>
      </c>
      <c r="H1578">
        <v>0</v>
      </c>
      <c r="I1578">
        <v>4475.963961</v>
      </c>
      <c r="J1578">
        <v>94.09215809375657</v>
      </c>
      <c r="K1578">
        <v>0</v>
      </c>
      <c r="L1578">
        <v>1.237704268980005</v>
      </c>
      <c r="M1578">
        <v>174.42</v>
      </c>
      <c r="N1578">
        <v>96.41</v>
      </c>
    </row>
    <row r="1579" spans="1:14">
      <c r="A1579" s="1" t="s">
        <v>1591</v>
      </c>
      <c r="B1579">
        <f>HYPERLINK("https://www.suredividend.com/sure-analysis-research-database/","Sprout Social Inc")</f>
        <v>0</v>
      </c>
      <c r="C1579" t="s">
        <v>1920</v>
      </c>
      <c r="D1579">
        <v>55.34</v>
      </c>
      <c r="E1579">
        <v>0</v>
      </c>
      <c r="H1579">
        <v>0</v>
      </c>
      <c r="I1579">
        <v>2568.796193</v>
      </c>
      <c r="J1579">
        <v>0</v>
      </c>
      <c r="K1579" t="s">
        <v>1921</v>
      </c>
      <c r="L1579">
        <v>2.554732895593158</v>
      </c>
      <c r="M1579">
        <v>142.61</v>
      </c>
      <c r="N1579">
        <v>38.39</v>
      </c>
    </row>
    <row r="1580" spans="1:14">
      <c r="A1580" s="1" t="s">
        <v>1592</v>
      </c>
      <c r="B1580">
        <f>HYPERLINK("https://www.suredividend.com/sure-analysis-SPTN/","SpartanNash Co")</f>
        <v>0</v>
      </c>
      <c r="C1580" t="s">
        <v>1928</v>
      </c>
      <c r="D1580">
        <v>31.24</v>
      </c>
      <c r="E1580">
        <v>0.02688860435339309</v>
      </c>
      <c r="F1580">
        <v>0.04999999999999982</v>
      </c>
      <c r="G1580">
        <v>0.04941452284458392</v>
      </c>
      <c r="H1580">
        <v>0.8215534520888741</v>
      </c>
      <c r="I1580">
        <v>1116.743184</v>
      </c>
      <c r="J1580">
        <v>18.26026757427604</v>
      </c>
      <c r="K1580">
        <v>0.4804406152566515</v>
      </c>
      <c r="L1580">
        <v>0.579712347360127</v>
      </c>
      <c r="M1580">
        <v>36.97</v>
      </c>
      <c r="N1580">
        <v>21.59</v>
      </c>
    </row>
    <row r="1581" spans="1:14">
      <c r="A1581" s="1" t="s">
        <v>1593</v>
      </c>
      <c r="B1581">
        <f>HYPERLINK("https://www.suredividend.com/sure-analysis-research-database/","Sportsman`s Warehouse Holdings Inc")</f>
        <v>0</v>
      </c>
      <c r="C1581" t="s">
        <v>1927</v>
      </c>
      <c r="D1581">
        <v>8.449999999999999</v>
      </c>
      <c r="E1581">
        <v>0</v>
      </c>
      <c r="H1581">
        <v>0</v>
      </c>
      <c r="I1581">
        <v>328.434938</v>
      </c>
      <c r="J1581">
        <v>0</v>
      </c>
      <c r="K1581" t="s">
        <v>1921</v>
      </c>
      <c r="L1581">
        <v>1.101683194830676</v>
      </c>
      <c r="M1581">
        <v>17.95</v>
      </c>
      <c r="N1581">
        <v>7.75</v>
      </c>
    </row>
    <row r="1582" spans="1:14">
      <c r="A1582" s="1" t="s">
        <v>1594</v>
      </c>
      <c r="B1582">
        <f>HYPERLINK("https://www.suredividend.com/sure-analysis-research-database/","Sunpower Corp")</f>
        <v>0</v>
      </c>
      <c r="C1582" t="s">
        <v>1920</v>
      </c>
      <c r="D1582">
        <v>21.47</v>
      </c>
      <c r="E1582">
        <v>0</v>
      </c>
      <c r="H1582">
        <v>0</v>
      </c>
      <c r="I1582">
        <v>3737.773597</v>
      </c>
      <c r="J1582" t="s">
        <v>1921</v>
      </c>
      <c r="K1582">
        <v>-0</v>
      </c>
      <c r="L1582">
        <v>1.62745077818987</v>
      </c>
      <c r="M1582">
        <v>34.61</v>
      </c>
      <c r="N1582">
        <v>12.78</v>
      </c>
    </row>
    <row r="1583" spans="1:14">
      <c r="A1583" s="1" t="s">
        <v>1595</v>
      </c>
      <c r="B1583">
        <f>HYPERLINK("https://www.suredividend.com/sure-analysis-research-database/","SPX Technologies Inc")</f>
        <v>0</v>
      </c>
      <c r="C1583" t="s">
        <v>1924</v>
      </c>
      <c r="D1583">
        <v>57.53</v>
      </c>
      <c r="E1583">
        <v>0</v>
      </c>
      <c r="H1583">
        <v>0</v>
      </c>
      <c r="I1583">
        <v>0</v>
      </c>
      <c r="J1583">
        <v>0</v>
      </c>
      <c r="K1583" t="s">
        <v>1921</v>
      </c>
      <c r="M1583">
        <v>64.11</v>
      </c>
      <c r="N1583">
        <v>53.19</v>
      </c>
    </row>
    <row r="1584" spans="1:14">
      <c r="A1584" s="1" t="s">
        <v>1596</v>
      </c>
      <c r="B1584">
        <f>HYPERLINK("https://www.suredividend.com/sure-analysis-research-database/","SQZ Biotechnologies Co")</f>
        <v>0</v>
      </c>
      <c r="C1584" t="s">
        <v>1921</v>
      </c>
      <c r="D1584">
        <v>3.1</v>
      </c>
      <c r="E1584">
        <v>0</v>
      </c>
      <c r="H1584">
        <v>0</v>
      </c>
      <c r="I1584">
        <v>90.670514</v>
      </c>
      <c r="J1584">
        <v>0</v>
      </c>
      <c r="K1584" t="s">
        <v>1921</v>
      </c>
      <c r="L1584">
        <v>1.286580896126125</v>
      </c>
      <c r="M1584">
        <v>15.27</v>
      </c>
      <c r="N1584">
        <v>2</v>
      </c>
    </row>
    <row r="1585" spans="1:14">
      <c r="A1585" s="1" t="s">
        <v>1597</v>
      </c>
      <c r="B1585">
        <f>HYPERLINK("https://www.suredividend.com/sure-analysis-SR/","Spire Inc.")</f>
        <v>0</v>
      </c>
      <c r="C1585" t="s">
        <v>1930</v>
      </c>
      <c r="D1585">
        <v>62.04</v>
      </c>
      <c r="E1585">
        <v>0.04416505480335268</v>
      </c>
      <c r="F1585">
        <v>0.05384615384615388</v>
      </c>
      <c r="G1585">
        <v>0.04019223855574294</v>
      </c>
      <c r="H1585">
        <v>2.701100021917128</v>
      </c>
      <c r="I1585">
        <v>3256.651885</v>
      </c>
      <c r="J1585">
        <v>16.0426201235468</v>
      </c>
      <c r="K1585">
        <v>0.6908184199276541</v>
      </c>
      <c r="L1585">
        <v>0.350970269528111</v>
      </c>
      <c r="M1585">
        <v>77.77</v>
      </c>
      <c r="N1585">
        <v>57.29</v>
      </c>
    </row>
    <row r="1586" spans="1:14">
      <c r="A1586" s="1" t="s">
        <v>1598</v>
      </c>
      <c r="B1586">
        <f>HYPERLINK("https://www.suredividend.com/sure-analysis-SRCE/","1st Source Corp.")</f>
        <v>0</v>
      </c>
      <c r="C1586" t="s">
        <v>1923</v>
      </c>
      <c r="D1586">
        <v>48.01</v>
      </c>
      <c r="E1586">
        <v>0.02666111226827744</v>
      </c>
      <c r="F1586">
        <v>0.032258064516129</v>
      </c>
      <c r="G1586">
        <v>0.09856054330611763</v>
      </c>
      <c r="H1586">
        <v>1.237508650395104</v>
      </c>
      <c r="I1586">
        <v>1183.721453</v>
      </c>
      <c r="J1586">
        <v>10.20607898872239</v>
      </c>
      <c r="K1586">
        <v>0.2644249252980992</v>
      </c>
      <c r="L1586">
        <v>0.480783319476028</v>
      </c>
      <c r="M1586">
        <v>51.65</v>
      </c>
      <c r="N1586">
        <v>42.01</v>
      </c>
    </row>
    <row r="1587" spans="1:14">
      <c r="A1587" s="1" t="s">
        <v>1599</v>
      </c>
      <c r="B1587">
        <f>HYPERLINK("https://www.suredividend.com/sure-analysis-research-database/","Surmodics, Inc.")</f>
        <v>0</v>
      </c>
      <c r="C1587" t="s">
        <v>1922</v>
      </c>
      <c r="D1587">
        <v>30.13</v>
      </c>
      <c r="E1587">
        <v>0</v>
      </c>
      <c r="H1587">
        <v>0</v>
      </c>
      <c r="I1587">
        <v>421.5187</v>
      </c>
      <c r="J1587" t="s">
        <v>1921</v>
      </c>
      <c r="K1587">
        <v>-0</v>
      </c>
      <c r="L1587">
        <v>1.153617150751797</v>
      </c>
      <c r="M1587">
        <v>58.95</v>
      </c>
      <c r="N1587">
        <v>28.28</v>
      </c>
    </row>
    <row r="1588" spans="1:14">
      <c r="A1588" s="1" t="s">
        <v>1600</v>
      </c>
      <c r="B1588">
        <f>HYPERLINK("https://www.suredividend.com/sure-analysis-research-database/","Seritage Growth Properties")</f>
        <v>0</v>
      </c>
      <c r="C1588" t="s">
        <v>1929</v>
      </c>
      <c r="D1588">
        <v>9.44</v>
      </c>
      <c r="E1588">
        <v>0</v>
      </c>
      <c r="H1588">
        <v>0</v>
      </c>
      <c r="I1588">
        <v>528.945677</v>
      </c>
      <c r="J1588" t="s">
        <v>1921</v>
      </c>
      <c r="K1588">
        <v>-0</v>
      </c>
      <c r="L1588">
        <v>1.507742023903332</v>
      </c>
      <c r="M1588">
        <v>17.12</v>
      </c>
      <c r="N1588">
        <v>4.9</v>
      </c>
    </row>
    <row r="1589" spans="1:14">
      <c r="A1589" s="1" t="s">
        <v>1601</v>
      </c>
      <c r="B1589">
        <f>HYPERLINK("https://www.suredividend.com/sure-analysis-research-database/","Stoneridge Inc.")</f>
        <v>0</v>
      </c>
      <c r="C1589" t="s">
        <v>1927</v>
      </c>
      <c r="D1589">
        <v>16.65</v>
      </c>
      <c r="E1589">
        <v>0</v>
      </c>
      <c r="H1589">
        <v>0</v>
      </c>
      <c r="I1589">
        <v>454.982296</v>
      </c>
      <c r="J1589" t="s">
        <v>1921</v>
      </c>
      <c r="K1589">
        <v>-0</v>
      </c>
      <c r="L1589">
        <v>1.077241752212468</v>
      </c>
      <c r="M1589">
        <v>23.46</v>
      </c>
      <c r="N1589">
        <v>13.64</v>
      </c>
    </row>
    <row r="1590" spans="1:14">
      <c r="A1590" s="1" t="s">
        <v>1602</v>
      </c>
      <c r="B1590">
        <f>HYPERLINK("https://www.suredividend.com/sure-analysis-research-database/","Sorrento Therapeutics Inc")</f>
        <v>0</v>
      </c>
      <c r="C1590" t="s">
        <v>1922</v>
      </c>
      <c r="D1590">
        <v>1.35</v>
      </c>
      <c r="E1590">
        <v>0</v>
      </c>
      <c r="H1590">
        <v>0</v>
      </c>
      <c r="I1590">
        <v>607.43542</v>
      </c>
      <c r="J1590">
        <v>0</v>
      </c>
      <c r="K1590" t="s">
        <v>1921</v>
      </c>
      <c r="L1590">
        <v>2.20950265599735</v>
      </c>
      <c r="M1590">
        <v>7.4</v>
      </c>
      <c r="N1590">
        <v>1.15</v>
      </c>
    </row>
    <row r="1591" spans="1:14">
      <c r="A1591" s="1" t="s">
        <v>1603</v>
      </c>
      <c r="B1591">
        <f>HYPERLINK("https://www.suredividend.com/sure-analysis-research-database/","Scholar Rock Holding Corp")</f>
        <v>0</v>
      </c>
      <c r="C1591" t="s">
        <v>1922</v>
      </c>
      <c r="D1591">
        <v>7.62</v>
      </c>
      <c r="E1591">
        <v>0</v>
      </c>
      <c r="H1591">
        <v>0</v>
      </c>
      <c r="I1591">
        <v>393.501753</v>
      </c>
      <c r="J1591">
        <v>0</v>
      </c>
      <c r="K1591" t="s">
        <v>1921</v>
      </c>
      <c r="L1591">
        <v>1.386511787077144</v>
      </c>
      <c r="M1591">
        <v>36.43</v>
      </c>
      <c r="N1591">
        <v>4.33</v>
      </c>
    </row>
    <row r="1592" spans="1:14">
      <c r="A1592" s="1" t="s">
        <v>1604</v>
      </c>
      <c r="B1592">
        <f>HYPERLINK("https://www.suredividend.com/sure-analysis-research-database/","Startek, Inc.")</f>
        <v>0</v>
      </c>
      <c r="C1592" t="s">
        <v>1924</v>
      </c>
      <c r="D1592">
        <v>3.43</v>
      </c>
      <c r="E1592">
        <v>0</v>
      </c>
      <c r="H1592">
        <v>0</v>
      </c>
      <c r="I1592">
        <v>138.35391</v>
      </c>
      <c r="J1592">
        <v>18.71164597105761</v>
      </c>
      <c r="K1592">
        <v>0</v>
      </c>
      <c r="L1592">
        <v>0.7176694867998451</v>
      </c>
      <c r="M1592">
        <v>6</v>
      </c>
      <c r="N1592">
        <v>2.6</v>
      </c>
    </row>
    <row r="1593" spans="1:14">
      <c r="A1593" s="1" t="s">
        <v>1605</v>
      </c>
      <c r="B1593">
        <f>HYPERLINK("https://www.suredividend.com/sure-analysis-research-database/","SouthState Corporation")</f>
        <v>0</v>
      </c>
      <c r="C1593" t="s">
        <v>1923</v>
      </c>
      <c r="D1593">
        <v>81.98</v>
      </c>
      <c r="E1593">
        <v>0.023811686355318</v>
      </c>
      <c r="F1593">
        <v>0.02040816326530615</v>
      </c>
      <c r="G1593">
        <v>0.08665382460480164</v>
      </c>
      <c r="H1593">
        <v>1.952082047409051</v>
      </c>
      <c r="I1593">
        <v>6203.059166</v>
      </c>
      <c r="J1593">
        <v>13.81103172218784</v>
      </c>
      <c r="K1593">
        <v>0.3138395574612622</v>
      </c>
      <c r="L1593">
        <v>0.8819720988493631</v>
      </c>
      <c r="M1593">
        <v>91.66</v>
      </c>
      <c r="N1593">
        <v>71.81999999999999</v>
      </c>
    </row>
    <row r="1594" spans="1:14">
      <c r="A1594" s="1" t="s">
        <v>1606</v>
      </c>
      <c r="B1594">
        <f>HYPERLINK("https://www.suredividend.com/sure-analysis-research-database/","Simpson Manufacturing Co., Inc.")</f>
        <v>0</v>
      </c>
      <c r="C1594" t="s">
        <v>1924</v>
      </c>
      <c r="D1594">
        <v>78.64</v>
      </c>
      <c r="E1594">
        <v>0.012917134680343</v>
      </c>
      <c r="F1594">
        <v>0.04000000000000004</v>
      </c>
      <c r="G1594">
        <v>0.04364022715043592</v>
      </c>
      <c r="H1594">
        <v>1.01580347126222</v>
      </c>
      <c r="I1594">
        <v>3394.590204</v>
      </c>
      <c r="J1594">
        <v>10.23320723591671</v>
      </c>
      <c r="K1594">
        <v>0.1327847674852575</v>
      </c>
      <c r="L1594">
        <v>0.9989083443122401</v>
      </c>
      <c r="M1594">
        <v>139.88</v>
      </c>
      <c r="N1594">
        <v>76.72</v>
      </c>
    </row>
    <row r="1595" spans="1:14">
      <c r="A1595" s="1" t="s">
        <v>1607</v>
      </c>
      <c r="B1595">
        <f>HYPERLINK("https://www.suredividend.com/sure-analysis-research-database/","E.W. Scripps Co.")</f>
        <v>0</v>
      </c>
      <c r="C1595" t="s">
        <v>1931</v>
      </c>
      <c r="D1595">
        <v>12.48</v>
      </c>
      <c r="E1595">
        <v>0</v>
      </c>
      <c r="H1595">
        <v>0</v>
      </c>
      <c r="I1595">
        <v>892.102174</v>
      </c>
      <c r="J1595">
        <v>7.119730040542698</v>
      </c>
      <c r="K1595">
        <v>0</v>
      </c>
      <c r="L1595">
        <v>1.056533836362321</v>
      </c>
      <c r="M1595">
        <v>23.61</v>
      </c>
      <c r="N1595">
        <v>11.22</v>
      </c>
    </row>
    <row r="1596" spans="1:14">
      <c r="A1596" s="1" t="s">
        <v>1608</v>
      </c>
      <c r="B1596">
        <f>HYPERLINK("https://www.suredividend.com/sure-analysis-research-database/","ShotSpotter Inc")</f>
        <v>0</v>
      </c>
      <c r="C1596" t="s">
        <v>1920</v>
      </c>
      <c r="D1596">
        <v>25.18</v>
      </c>
      <c r="E1596">
        <v>0</v>
      </c>
      <c r="H1596">
        <v>0</v>
      </c>
      <c r="I1596">
        <v>306.072393</v>
      </c>
      <c r="J1596" t="s">
        <v>1921</v>
      </c>
      <c r="K1596">
        <v>-0</v>
      </c>
      <c r="L1596">
        <v>0.9218242757251031</v>
      </c>
      <c r="M1596">
        <v>40.68</v>
      </c>
      <c r="N1596">
        <v>22.63</v>
      </c>
    </row>
    <row r="1597" spans="1:14">
      <c r="A1597" s="1" t="s">
        <v>1609</v>
      </c>
      <c r="B1597">
        <f>HYPERLINK("https://www.suredividend.com/sure-analysis-research-database/","Shutterstock Inc")</f>
        <v>0</v>
      </c>
      <c r="C1597" t="s">
        <v>1931</v>
      </c>
      <c r="D1597">
        <v>49.97</v>
      </c>
      <c r="E1597">
        <v>0.018504636256363</v>
      </c>
      <c r="H1597">
        <v>0.9246766737304861</v>
      </c>
      <c r="I1597">
        <v>1797.342947</v>
      </c>
      <c r="J1597">
        <v>22.77077670399838</v>
      </c>
      <c r="K1597">
        <v>0.436168242325701</v>
      </c>
      <c r="L1597">
        <v>1.299074865859057</v>
      </c>
      <c r="M1597">
        <v>126.72</v>
      </c>
      <c r="N1597">
        <v>48.64</v>
      </c>
    </row>
    <row r="1598" spans="1:14">
      <c r="A1598" s="1" t="s">
        <v>1610</v>
      </c>
      <c r="B1598">
        <f>HYPERLINK("https://www.suredividend.com/sure-analysis-research-database/","Staar Surgical Co.")</f>
        <v>0</v>
      </c>
      <c r="C1598" t="s">
        <v>1922</v>
      </c>
      <c r="D1598">
        <v>68.56</v>
      </c>
      <c r="E1598">
        <v>0</v>
      </c>
      <c r="H1598">
        <v>0</v>
      </c>
      <c r="I1598">
        <v>3293.50859</v>
      </c>
      <c r="J1598">
        <v>98.07362844380918</v>
      </c>
      <c r="K1598">
        <v>0</v>
      </c>
      <c r="L1598">
        <v>1.782052548868329</v>
      </c>
      <c r="M1598">
        <v>128.31</v>
      </c>
      <c r="N1598">
        <v>49.03</v>
      </c>
    </row>
    <row r="1599" spans="1:14">
      <c r="A1599" s="1" t="s">
        <v>1611</v>
      </c>
      <c r="B1599">
        <f>HYPERLINK("https://www.suredividend.com/sure-analysis-STAG/","STAG Industrial Inc")</f>
        <v>0</v>
      </c>
      <c r="C1599" t="s">
        <v>1929</v>
      </c>
      <c r="D1599">
        <v>26.85</v>
      </c>
      <c r="E1599">
        <v>0.05437616387337058</v>
      </c>
      <c r="F1599">
        <v>0</v>
      </c>
      <c r="G1599">
        <v>0.001376622202540201</v>
      </c>
      <c r="H1599">
        <v>1.428980636010716</v>
      </c>
      <c r="I1599">
        <v>4811.946808</v>
      </c>
      <c r="J1599">
        <v>21.89746850998184</v>
      </c>
      <c r="K1599">
        <v>1.125181603158044</v>
      </c>
      <c r="L1599">
        <v>0.819207699703082</v>
      </c>
      <c r="M1599">
        <v>46.77</v>
      </c>
      <c r="N1599">
        <v>26.85</v>
      </c>
    </row>
    <row r="1600" spans="1:14">
      <c r="A1600" s="1" t="s">
        <v>1612</v>
      </c>
      <c r="B1600">
        <f>HYPERLINK("https://www.suredividend.com/sure-analysis-research-database/","iStar Inc")</f>
        <v>0</v>
      </c>
      <c r="C1600" t="s">
        <v>1929</v>
      </c>
      <c r="D1600">
        <v>8.470000000000001</v>
      </c>
      <c r="E1600">
        <v>0.05857309825714901</v>
      </c>
      <c r="H1600">
        <v>0.4961141422380551</v>
      </c>
      <c r="I1600">
        <v>723.143986</v>
      </c>
      <c r="J1600">
        <v>1.202628269241963</v>
      </c>
      <c r="K1600">
        <v>0.06006224482300909</v>
      </c>
      <c r="L1600">
        <v>1.279779719563251</v>
      </c>
      <c r="M1600">
        <v>27.23</v>
      </c>
      <c r="N1600">
        <v>8.42</v>
      </c>
    </row>
    <row r="1601" spans="1:14">
      <c r="A1601" s="1" t="s">
        <v>1613</v>
      </c>
      <c r="B1601">
        <f>HYPERLINK("https://www.suredividend.com/sure-analysis-research-database/","S &amp; T Bancorp, Inc.")</f>
        <v>0</v>
      </c>
      <c r="C1601" t="s">
        <v>1923</v>
      </c>
      <c r="D1601">
        <v>30.01</v>
      </c>
      <c r="E1601">
        <v>0.038744755541869</v>
      </c>
      <c r="H1601">
        <v>1.162730113811499</v>
      </c>
      <c r="I1601">
        <v>1174.780193</v>
      </c>
      <c r="J1601">
        <v>10.90971743569027</v>
      </c>
      <c r="K1601">
        <v>0.4212790267432968</v>
      </c>
      <c r="L1601">
        <v>0.552791569760956</v>
      </c>
      <c r="M1601">
        <v>33.2</v>
      </c>
      <c r="N1601">
        <v>26.25</v>
      </c>
    </row>
    <row r="1602" spans="1:14">
      <c r="A1602" s="1" t="s">
        <v>1614</v>
      </c>
      <c r="B1602">
        <f>HYPERLINK("https://www.suredividend.com/sure-analysis-research-database/","Stewart Information Services Corp.")</f>
        <v>0</v>
      </c>
      <c r="C1602" t="s">
        <v>1923</v>
      </c>
      <c r="D1602">
        <v>43.39</v>
      </c>
      <c r="E1602">
        <v>0.035889021654381</v>
      </c>
      <c r="F1602">
        <v>0.3636363636363635</v>
      </c>
      <c r="G1602">
        <v>0.08447177119769855</v>
      </c>
      <c r="H1602">
        <v>1.557224649583598</v>
      </c>
      <c r="I1602">
        <v>1176.255692</v>
      </c>
      <c r="J1602">
        <v>4.004710952954875</v>
      </c>
      <c r="K1602">
        <v>0.1448581069380091</v>
      </c>
      <c r="L1602">
        <v>0.8655040851245661</v>
      </c>
      <c r="M1602">
        <v>79.20999999999999</v>
      </c>
      <c r="N1602">
        <v>42.03</v>
      </c>
    </row>
    <row r="1603" spans="1:14">
      <c r="A1603" s="1" t="s">
        <v>1615</v>
      </c>
      <c r="B1603">
        <f>HYPERLINK("https://www.suredividend.com/sure-analysis-research-database/","Stem Inc")</f>
        <v>0</v>
      </c>
      <c r="C1603" t="s">
        <v>1921</v>
      </c>
      <c r="D1603">
        <v>13.16</v>
      </c>
      <c r="E1603">
        <v>0</v>
      </c>
      <c r="H1603">
        <v>0</v>
      </c>
      <c r="I1603">
        <v>2029.635571</v>
      </c>
      <c r="J1603">
        <v>0</v>
      </c>
      <c r="K1603" t="s">
        <v>1921</v>
      </c>
      <c r="L1603">
        <v>2.229161626154275</v>
      </c>
      <c r="M1603">
        <v>27.5</v>
      </c>
      <c r="N1603">
        <v>5.72</v>
      </c>
    </row>
    <row r="1604" spans="1:14">
      <c r="A1604" s="1" t="s">
        <v>1616</v>
      </c>
      <c r="B1604">
        <f>HYPERLINK("https://www.suredividend.com/sure-analysis-research-database/","StepStone Group Inc")</f>
        <v>0</v>
      </c>
      <c r="C1604" t="s">
        <v>1921</v>
      </c>
      <c r="D1604">
        <v>25.59</v>
      </c>
      <c r="E1604">
        <v>0.027097513948762</v>
      </c>
      <c r="H1604">
        <v>0.6934253819488331</v>
      </c>
      <c r="I1604">
        <v>1571.202508</v>
      </c>
      <c r="J1604">
        <v>0</v>
      </c>
      <c r="K1604" t="s">
        <v>1921</v>
      </c>
      <c r="L1604">
        <v>1.417008012196118</v>
      </c>
      <c r="M1604">
        <v>53.94</v>
      </c>
      <c r="N1604">
        <v>22.06</v>
      </c>
    </row>
    <row r="1605" spans="1:14">
      <c r="A1605" s="1" t="s">
        <v>1617</v>
      </c>
      <c r="B1605">
        <f>HYPERLINK("https://www.suredividend.com/sure-analysis-research-database/","Sterling Check Corp")</f>
        <v>0</v>
      </c>
      <c r="C1605" t="s">
        <v>1921</v>
      </c>
      <c r="D1605">
        <v>18.17</v>
      </c>
      <c r="E1605">
        <v>0</v>
      </c>
      <c r="H1605">
        <v>0</v>
      </c>
      <c r="I1605">
        <v>1750.868286</v>
      </c>
      <c r="J1605">
        <v>0</v>
      </c>
      <c r="K1605" t="s">
        <v>1921</v>
      </c>
      <c r="L1605">
        <v>1.371984278133772</v>
      </c>
      <c r="M1605">
        <v>28.76</v>
      </c>
      <c r="N1605">
        <v>14.65</v>
      </c>
    </row>
    <row r="1606" spans="1:14">
      <c r="A1606" s="1" t="s">
        <v>1618</v>
      </c>
      <c r="B1606">
        <f>HYPERLINK("https://www.suredividend.com/sure-analysis-research-database/","Stagwell Inc")</f>
        <v>0</v>
      </c>
      <c r="C1606" t="s">
        <v>1921</v>
      </c>
      <c r="D1606">
        <v>7.25</v>
      </c>
      <c r="E1606">
        <v>0</v>
      </c>
      <c r="H1606">
        <v>0</v>
      </c>
      <c r="I1606">
        <v>957.958059</v>
      </c>
      <c r="J1606">
        <v>23.02894510553392</v>
      </c>
      <c r="K1606">
        <v>0</v>
      </c>
      <c r="L1606">
        <v>1.134549944428934</v>
      </c>
      <c r="M1606">
        <v>11.04</v>
      </c>
      <c r="N1606">
        <v>4.8</v>
      </c>
    </row>
    <row r="1607" spans="1:14">
      <c r="A1607" s="1" t="s">
        <v>1619</v>
      </c>
      <c r="B1607">
        <f>HYPERLINK("https://www.suredividend.com/sure-analysis-research-database/","Neuronetics Inc")</f>
        <v>0</v>
      </c>
      <c r="C1607" t="s">
        <v>1922</v>
      </c>
      <c r="D1607">
        <v>2.88</v>
      </c>
      <c r="E1607">
        <v>0</v>
      </c>
      <c r="H1607">
        <v>0</v>
      </c>
      <c r="I1607">
        <v>77.82565200000001</v>
      </c>
      <c r="J1607">
        <v>0</v>
      </c>
      <c r="K1607" t="s">
        <v>1921</v>
      </c>
      <c r="L1607">
        <v>1.332692936800889</v>
      </c>
      <c r="M1607">
        <v>6.44</v>
      </c>
      <c r="N1607">
        <v>1.98</v>
      </c>
    </row>
    <row r="1608" spans="1:14">
      <c r="A1608" s="1" t="s">
        <v>1620</v>
      </c>
      <c r="B1608">
        <f>HYPERLINK("https://www.suredividend.com/sure-analysis-research-database/","ONE Group Hospitality Inc")</f>
        <v>0</v>
      </c>
      <c r="C1608" t="s">
        <v>1927</v>
      </c>
      <c r="D1608">
        <v>6.57</v>
      </c>
      <c r="E1608">
        <v>0</v>
      </c>
      <c r="H1608">
        <v>0</v>
      </c>
      <c r="I1608">
        <v>214.506565</v>
      </c>
      <c r="J1608">
        <v>0</v>
      </c>
      <c r="K1608" t="s">
        <v>1921</v>
      </c>
      <c r="L1608">
        <v>1.376768575834416</v>
      </c>
      <c r="M1608">
        <v>16.44</v>
      </c>
      <c r="N1608">
        <v>6.37</v>
      </c>
    </row>
    <row r="1609" spans="1:14">
      <c r="A1609" s="1" t="s">
        <v>1621</v>
      </c>
      <c r="B1609">
        <f>HYPERLINK("https://www.suredividend.com/sure-analysis-research-database/","Scorpio Tankers Inc")</f>
        <v>0</v>
      </c>
      <c r="C1609" t="s">
        <v>1926</v>
      </c>
      <c r="D1609">
        <v>40.74</v>
      </c>
      <c r="E1609">
        <v>0.009770358612324</v>
      </c>
      <c r="F1609">
        <v>0</v>
      </c>
      <c r="G1609">
        <v>0.5848931924611136</v>
      </c>
      <c r="H1609">
        <v>0.3980444098661201</v>
      </c>
      <c r="I1609">
        <v>2377.974082</v>
      </c>
      <c r="J1609">
        <v>0</v>
      </c>
      <c r="K1609" t="s">
        <v>1921</v>
      </c>
      <c r="L1609">
        <v>0.5999294272059791</v>
      </c>
      <c r="M1609">
        <v>46.3</v>
      </c>
      <c r="N1609">
        <v>10.89</v>
      </c>
    </row>
    <row r="1610" spans="1:14">
      <c r="A1610" s="1" t="s">
        <v>1622</v>
      </c>
      <c r="B1610">
        <f>HYPERLINK("https://www.suredividend.com/sure-analysis-research-database/","Stoke Therapeutics Inc")</f>
        <v>0</v>
      </c>
      <c r="C1610" t="s">
        <v>1922</v>
      </c>
      <c r="D1610">
        <v>11.53</v>
      </c>
      <c r="E1610">
        <v>0</v>
      </c>
      <c r="H1610">
        <v>0</v>
      </c>
      <c r="I1610">
        <v>454.504679</v>
      </c>
      <c r="J1610">
        <v>0</v>
      </c>
      <c r="K1610" t="s">
        <v>1921</v>
      </c>
      <c r="L1610">
        <v>1.517914123189601</v>
      </c>
      <c r="M1610">
        <v>33.06</v>
      </c>
      <c r="N1610">
        <v>9.550000000000001</v>
      </c>
    </row>
    <row r="1611" spans="1:14">
      <c r="A1611" s="1" t="s">
        <v>1623</v>
      </c>
      <c r="B1611">
        <f>HYPERLINK("https://www.suredividend.com/sure-analysis-research-database/","StoneMor Inc")</f>
        <v>0</v>
      </c>
      <c r="C1611" t="s">
        <v>1927</v>
      </c>
      <c r="D1611">
        <v>3.41</v>
      </c>
      <c r="E1611">
        <v>0</v>
      </c>
      <c r="H1611">
        <v>0</v>
      </c>
      <c r="I1611">
        <v>404.947471</v>
      </c>
      <c r="J1611" t="s">
        <v>1921</v>
      </c>
      <c r="K1611">
        <v>-0</v>
      </c>
      <c r="L1611">
        <v>0.551999539657926</v>
      </c>
      <c r="M1611">
        <v>3.5</v>
      </c>
      <c r="N1611">
        <v>2.08</v>
      </c>
    </row>
    <row r="1612" spans="1:14">
      <c r="A1612" s="1" t="s">
        <v>1624</v>
      </c>
      <c r="B1612">
        <f>HYPERLINK("https://www.suredividend.com/sure-analysis-research-database/","Strategic Education Inc")</f>
        <v>0</v>
      </c>
      <c r="C1612" t="s">
        <v>1928</v>
      </c>
      <c r="D1612">
        <v>61.25</v>
      </c>
      <c r="E1612">
        <v>0.038636002556466</v>
      </c>
      <c r="F1612">
        <v>0</v>
      </c>
      <c r="G1612">
        <v>0.1913578981670916</v>
      </c>
      <c r="H1612">
        <v>2.366455156583542</v>
      </c>
      <c r="I1612">
        <v>1509.032665</v>
      </c>
      <c r="J1612">
        <v>31.5809527447</v>
      </c>
      <c r="K1612">
        <v>1.19517937201189</v>
      </c>
      <c r="L1612">
        <v>0.766878425111844</v>
      </c>
      <c r="M1612">
        <v>74.33</v>
      </c>
      <c r="N1612">
        <v>46.65</v>
      </c>
    </row>
    <row r="1613" spans="1:14">
      <c r="A1613" s="1" t="s">
        <v>1625</v>
      </c>
      <c r="B1613">
        <f>HYPERLINK("https://www.suredividend.com/sure-analysis-research-database/","Sterling Infrastructure Inc")</f>
        <v>0</v>
      </c>
      <c r="C1613" t="s">
        <v>1924</v>
      </c>
      <c r="D1613">
        <v>22.81</v>
      </c>
      <c r="E1613">
        <v>0</v>
      </c>
      <c r="H1613">
        <v>0</v>
      </c>
      <c r="I1613">
        <v>691.151964</v>
      </c>
      <c r="J1613">
        <v>8.947298462464559</v>
      </c>
      <c r="K1613">
        <v>0</v>
      </c>
      <c r="L1613">
        <v>1.019816785437648</v>
      </c>
      <c r="M1613">
        <v>32.14</v>
      </c>
      <c r="N1613">
        <v>20.46</v>
      </c>
    </row>
    <row r="1614" spans="1:14">
      <c r="A1614" s="1" t="s">
        <v>1626</v>
      </c>
      <c r="B1614">
        <f>HYPERLINK("https://www.suredividend.com/sure-analysis-research-database/","Sutro Biopharma Inc")</f>
        <v>0</v>
      </c>
      <c r="C1614" t="s">
        <v>1922</v>
      </c>
      <c r="D1614">
        <v>5.53</v>
      </c>
      <c r="E1614">
        <v>0</v>
      </c>
      <c r="H1614">
        <v>0</v>
      </c>
      <c r="I1614">
        <v>288.452824</v>
      </c>
      <c r="J1614">
        <v>0</v>
      </c>
      <c r="K1614" t="s">
        <v>1921</v>
      </c>
      <c r="L1614">
        <v>1.282602082602739</v>
      </c>
      <c r="M1614">
        <v>23.7</v>
      </c>
      <c r="N1614">
        <v>3.33</v>
      </c>
    </row>
    <row r="1615" spans="1:14">
      <c r="A1615" s="1" t="s">
        <v>1627</v>
      </c>
      <c r="B1615">
        <f>HYPERLINK("https://www.suredividend.com/sure-analysis-research-database/","Shattuck Labs Inc")</f>
        <v>0</v>
      </c>
      <c r="C1615" t="s">
        <v>1921</v>
      </c>
      <c r="D1615">
        <v>2.66</v>
      </c>
      <c r="E1615">
        <v>0</v>
      </c>
      <c r="H1615">
        <v>0</v>
      </c>
      <c r="I1615">
        <v>112.736155</v>
      </c>
      <c r="J1615">
        <v>0</v>
      </c>
      <c r="K1615" t="s">
        <v>1921</v>
      </c>
      <c r="L1615">
        <v>1.234128150206397</v>
      </c>
      <c r="M1615">
        <v>20.25</v>
      </c>
      <c r="N1615">
        <v>2.54</v>
      </c>
    </row>
    <row r="1616" spans="1:14">
      <c r="A1616" s="1" t="s">
        <v>1628</v>
      </c>
      <c r="B1616">
        <f>HYPERLINK("https://www.suredividend.com/sure-analysis-research-database/","Stereotaxis Inc")</f>
        <v>0</v>
      </c>
      <c r="C1616" t="s">
        <v>1922</v>
      </c>
      <c r="D1616">
        <v>1.8</v>
      </c>
      <c r="E1616">
        <v>0</v>
      </c>
      <c r="H1616">
        <v>0</v>
      </c>
      <c r="I1616">
        <v>134.622133</v>
      </c>
      <c r="J1616" t="s">
        <v>1921</v>
      </c>
      <c r="K1616">
        <v>-0</v>
      </c>
      <c r="L1616">
        <v>1.539466937304943</v>
      </c>
      <c r="M1616">
        <v>7.22</v>
      </c>
      <c r="N1616">
        <v>1.72</v>
      </c>
    </row>
    <row r="1617" spans="1:14">
      <c r="A1617" s="1" t="s">
        <v>1629</v>
      </c>
      <c r="B1617">
        <f>HYPERLINK("https://www.suredividend.com/sure-analysis-research-database/","Summit Materials Inc")</f>
        <v>0</v>
      </c>
      <c r="C1617" t="s">
        <v>1925</v>
      </c>
      <c r="D1617">
        <v>23.69</v>
      </c>
      <c r="E1617">
        <v>0</v>
      </c>
      <c r="H1617">
        <v>0</v>
      </c>
      <c r="I1617">
        <v>2802.527971</v>
      </c>
      <c r="J1617">
        <v>10.23332093524865</v>
      </c>
      <c r="K1617">
        <v>0</v>
      </c>
      <c r="L1617">
        <v>1.170885036820496</v>
      </c>
      <c r="M1617">
        <v>41.46</v>
      </c>
      <c r="N1617">
        <v>21.99</v>
      </c>
    </row>
    <row r="1618" spans="1:14">
      <c r="A1618" s="1" t="s">
        <v>1630</v>
      </c>
      <c r="B1618">
        <f>HYPERLINK("https://www.suredividend.com/sure-analysis-research-database/","Sumo Logic Inc")</f>
        <v>0</v>
      </c>
      <c r="C1618" t="s">
        <v>1921</v>
      </c>
      <c r="D1618">
        <v>6.9</v>
      </c>
      <c r="E1618">
        <v>0</v>
      </c>
      <c r="H1618">
        <v>0</v>
      </c>
      <c r="I1618">
        <v>817.973265</v>
      </c>
      <c r="J1618">
        <v>0</v>
      </c>
      <c r="K1618" t="s">
        <v>1921</v>
      </c>
      <c r="L1618">
        <v>1.585940660885531</v>
      </c>
      <c r="M1618">
        <v>17.8</v>
      </c>
      <c r="N1618">
        <v>6.57</v>
      </c>
    </row>
    <row r="1619" spans="1:14">
      <c r="A1619" s="1" t="s">
        <v>1631</v>
      </c>
      <c r="B1619">
        <f>HYPERLINK("https://www.suredividend.com/sure-analysis-research-database/","Supernus Pharmaceuticals Inc")</f>
        <v>0</v>
      </c>
      <c r="C1619" t="s">
        <v>1922</v>
      </c>
      <c r="D1619">
        <v>31.74</v>
      </c>
      <c r="E1619">
        <v>0</v>
      </c>
      <c r="H1619">
        <v>0</v>
      </c>
      <c r="I1619">
        <v>1697.939584</v>
      </c>
      <c r="J1619">
        <v>29.53708939966948</v>
      </c>
      <c r="K1619">
        <v>0</v>
      </c>
      <c r="L1619">
        <v>0.6909582302897791</v>
      </c>
      <c r="M1619">
        <v>36.08</v>
      </c>
      <c r="N1619">
        <v>24.95</v>
      </c>
    </row>
    <row r="1620" spans="1:14">
      <c r="A1620" s="1" t="s">
        <v>1632</v>
      </c>
      <c r="B1620">
        <f>HYPERLINK("https://www.suredividend.com/sure-analysis-research-database/","Surface Oncology Inc")</f>
        <v>0</v>
      </c>
      <c r="C1620" t="s">
        <v>1922</v>
      </c>
      <c r="D1620">
        <v>1.06</v>
      </c>
      <c r="E1620">
        <v>0</v>
      </c>
      <c r="H1620">
        <v>0</v>
      </c>
      <c r="I1620">
        <v>61.516075</v>
      </c>
      <c r="J1620">
        <v>0</v>
      </c>
      <c r="K1620" t="s">
        <v>1921</v>
      </c>
      <c r="L1620">
        <v>1.60789944981909</v>
      </c>
      <c r="M1620">
        <v>8.32</v>
      </c>
      <c r="N1620">
        <v>1</v>
      </c>
    </row>
    <row r="1621" spans="1:14">
      <c r="A1621" s="1" t="s">
        <v>1633</v>
      </c>
      <c r="B1621">
        <f>HYPERLINK("https://www.suredividend.com/sure-analysis-SVC/","Service Properties Trust")</f>
        <v>0</v>
      </c>
      <c r="C1621" t="s">
        <v>1929</v>
      </c>
      <c r="D1621">
        <v>5.46</v>
      </c>
      <c r="E1621">
        <v>0.007311233041664001</v>
      </c>
      <c r="F1621">
        <v>0</v>
      </c>
      <c r="G1621">
        <v>-0.5462680817193351</v>
      </c>
      <c r="H1621">
        <v>0.039919332407488</v>
      </c>
      <c r="I1621">
        <v>901.39716</v>
      </c>
      <c r="J1621" t="s">
        <v>1921</v>
      </c>
      <c r="K1621" t="s">
        <v>1921</v>
      </c>
      <c r="L1621">
        <v>1.728583020315252</v>
      </c>
      <c r="M1621">
        <v>12.18</v>
      </c>
      <c r="N1621">
        <v>4.64</v>
      </c>
    </row>
    <row r="1622" spans="1:14">
      <c r="A1622" s="1" t="s">
        <v>1634</v>
      </c>
      <c r="B1622">
        <f>HYPERLINK("https://www.suredividend.com/sure-analysis-research-database/","ShockWave Medical Inc")</f>
        <v>0</v>
      </c>
      <c r="C1622" t="s">
        <v>1922</v>
      </c>
      <c r="D1622">
        <v>267.96</v>
      </c>
      <c r="E1622">
        <v>0</v>
      </c>
      <c r="H1622">
        <v>0</v>
      </c>
      <c r="I1622">
        <v>9590.802078999999</v>
      </c>
      <c r="J1622">
        <v>174.4670392075966</v>
      </c>
      <c r="K1622">
        <v>0</v>
      </c>
      <c r="L1622">
        <v>1.636399349107055</v>
      </c>
      <c r="M1622">
        <v>314.9</v>
      </c>
      <c r="N1622">
        <v>113.36</v>
      </c>
    </row>
    <row r="1623" spans="1:14">
      <c r="A1623" s="1" t="s">
        <v>1635</v>
      </c>
      <c r="B1623">
        <f>HYPERLINK("https://www.suredividend.com/sure-analysis-research-database/","Smith &amp; Wesson Brands Inc")</f>
        <v>0</v>
      </c>
      <c r="C1623" t="s">
        <v>1921</v>
      </c>
      <c r="D1623">
        <v>10.43</v>
      </c>
      <c r="E1623">
        <v>0.034136110939755</v>
      </c>
      <c r="H1623">
        <v>0.356039637101649</v>
      </c>
      <c r="I1623">
        <v>477.428588</v>
      </c>
      <c r="J1623">
        <v>3.948170650904701</v>
      </c>
      <c r="K1623">
        <v>0.1385368237749607</v>
      </c>
      <c r="L1623">
        <v>1.129941437145811</v>
      </c>
      <c r="M1623">
        <v>23.63</v>
      </c>
      <c r="N1623">
        <v>9.93</v>
      </c>
    </row>
    <row r="1624" spans="1:14">
      <c r="A1624" s="1" t="s">
        <v>1636</v>
      </c>
      <c r="B1624">
        <f>HYPERLINK("https://www.suredividend.com/sure-analysis-research-database/","Latham Group Inc")</f>
        <v>0</v>
      </c>
      <c r="C1624" t="s">
        <v>1921</v>
      </c>
      <c r="D1624">
        <v>3.7</v>
      </c>
      <c r="E1624">
        <v>0</v>
      </c>
      <c r="H1624">
        <v>0</v>
      </c>
      <c r="I1624">
        <v>433.348196</v>
      </c>
      <c r="J1624">
        <v>0</v>
      </c>
      <c r="K1624" t="s">
        <v>1921</v>
      </c>
      <c r="L1624">
        <v>1.900588100970199</v>
      </c>
      <c r="M1624">
        <v>27.25</v>
      </c>
      <c r="N1624">
        <v>3.53</v>
      </c>
    </row>
    <row r="1625" spans="1:14">
      <c r="A1625" s="1" t="s">
        <v>1637</v>
      </c>
      <c r="B1625">
        <f>HYPERLINK("https://www.suredividend.com/sure-analysis-research-database/","Schweitzer-Mauduit International, Inc.")</f>
        <v>0</v>
      </c>
      <c r="C1625" t="s">
        <v>1925</v>
      </c>
      <c r="D1625">
        <v>23.41</v>
      </c>
      <c r="E1625">
        <v>0.055572781504053</v>
      </c>
      <c r="H1625">
        <v>1.300958815009887</v>
      </c>
      <c r="I1625">
        <v>731.768625</v>
      </c>
      <c r="J1625">
        <v>10.79304756710914</v>
      </c>
      <c r="K1625">
        <v>0.6022957476897625</v>
      </c>
      <c r="M1625">
        <v>39.33</v>
      </c>
      <c r="N1625">
        <v>22.84</v>
      </c>
    </row>
    <row r="1626" spans="1:14">
      <c r="A1626" s="1" t="s">
        <v>1638</v>
      </c>
      <c r="B1626">
        <f>HYPERLINK("https://www.suredividend.com/sure-analysis-research-database/","Southwestern Energy Company")</f>
        <v>0</v>
      </c>
      <c r="C1626" t="s">
        <v>1926</v>
      </c>
      <c r="D1626">
        <v>6.74</v>
      </c>
      <c r="E1626">
        <v>0</v>
      </c>
      <c r="H1626">
        <v>0</v>
      </c>
      <c r="I1626">
        <v>7510.426868</v>
      </c>
      <c r="J1626" t="s">
        <v>1921</v>
      </c>
      <c r="K1626">
        <v>-0</v>
      </c>
      <c r="L1626">
        <v>1.170830081222726</v>
      </c>
      <c r="M1626">
        <v>9.869999999999999</v>
      </c>
      <c r="N1626">
        <v>3.81</v>
      </c>
    </row>
    <row r="1627" spans="1:14">
      <c r="A1627" s="1" t="s">
        <v>1639</v>
      </c>
      <c r="B1627">
        <f>HYPERLINK("https://www.suredividend.com/sure-analysis-research-database/","SpringWorks Therapeutics Inc")</f>
        <v>0</v>
      </c>
      <c r="C1627" t="s">
        <v>1922</v>
      </c>
      <c r="D1627">
        <v>27.07</v>
      </c>
      <c r="E1627">
        <v>0</v>
      </c>
      <c r="H1627">
        <v>0</v>
      </c>
      <c r="I1627">
        <v>1689.196992</v>
      </c>
      <c r="J1627">
        <v>0</v>
      </c>
      <c r="K1627" t="s">
        <v>1921</v>
      </c>
      <c r="L1627">
        <v>1.294376225494596</v>
      </c>
      <c r="M1627">
        <v>77.7</v>
      </c>
      <c r="N1627">
        <v>13.6</v>
      </c>
    </row>
    <row r="1628" spans="1:14">
      <c r="A1628" s="1" t="s">
        <v>1640</v>
      </c>
      <c r="B1628">
        <f>HYPERLINK("https://www.suredividend.com/sure-analysis-SWX/","Southwest Gas Holdings Inc")</f>
        <v>0</v>
      </c>
      <c r="C1628" t="s">
        <v>1930</v>
      </c>
      <c r="D1628">
        <v>67.17</v>
      </c>
      <c r="E1628">
        <v>0.03692124460324549</v>
      </c>
      <c r="F1628">
        <v>0.04201680672268915</v>
      </c>
      <c r="G1628">
        <v>0.04606169223332812</v>
      </c>
      <c r="H1628">
        <v>2.401993725235603</v>
      </c>
      <c r="I1628">
        <v>4490.452199</v>
      </c>
      <c r="J1628">
        <v>30.34704466107994</v>
      </c>
      <c r="K1628">
        <v>1.009241061023363</v>
      </c>
      <c r="L1628">
        <v>0.27681013796562</v>
      </c>
      <c r="M1628">
        <v>94.84</v>
      </c>
      <c r="N1628">
        <v>60.94</v>
      </c>
    </row>
    <row r="1629" spans="1:14">
      <c r="A1629" s="1" t="s">
        <v>1641</v>
      </c>
      <c r="B1629">
        <f>HYPERLINK("https://www.suredividend.com/sure-analysis-research-database/","SunCoke Energy Inc")</f>
        <v>0</v>
      </c>
      <c r="C1629" t="s">
        <v>1925</v>
      </c>
      <c r="D1629">
        <v>6.32</v>
      </c>
      <c r="E1629">
        <v>0.040598922007978</v>
      </c>
      <c r="H1629">
        <v>0.256585187090423</v>
      </c>
      <c r="I1629">
        <v>527.033288</v>
      </c>
      <c r="J1629">
        <v>6.334534708653846</v>
      </c>
      <c r="K1629">
        <v>0.2599120614773328</v>
      </c>
      <c r="L1629">
        <v>0.8105611189894061</v>
      </c>
      <c r="M1629">
        <v>9.630000000000001</v>
      </c>
      <c r="N1629">
        <v>5.72</v>
      </c>
    </row>
    <row r="1630" spans="1:14">
      <c r="A1630" s="1" t="s">
        <v>1642</v>
      </c>
      <c r="B1630">
        <f>HYPERLINK("https://www.suredividend.com/sure-analysis-SXI/","Standex International Corp.")</f>
        <v>0</v>
      </c>
      <c r="C1630" t="s">
        <v>1924</v>
      </c>
      <c r="D1630">
        <v>83.17</v>
      </c>
      <c r="E1630">
        <v>0.01250450883732115</v>
      </c>
      <c r="F1630">
        <v>0.08333333333333348</v>
      </c>
      <c r="G1630">
        <v>0.07631692251481081</v>
      </c>
      <c r="H1630">
        <v>1.035814804034001</v>
      </c>
      <c r="I1630">
        <v>995.76239</v>
      </c>
      <c r="J1630">
        <v>16.21947762041275</v>
      </c>
      <c r="K1630">
        <v>0.2047064830106722</v>
      </c>
      <c r="L1630">
        <v>0.785454154218543</v>
      </c>
      <c r="M1630">
        <v>120.49</v>
      </c>
      <c r="N1630">
        <v>78.8</v>
      </c>
    </row>
    <row r="1631" spans="1:14">
      <c r="A1631" s="1" t="s">
        <v>1643</v>
      </c>
      <c r="B1631">
        <f>HYPERLINK("https://www.suredividend.com/sure-analysis-SXT/","Sensient Technologies Corp.")</f>
        <v>0</v>
      </c>
      <c r="C1631" t="s">
        <v>1925</v>
      </c>
      <c r="D1631">
        <v>70.69</v>
      </c>
      <c r="E1631">
        <v>0.02319988682982034</v>
      </c>
      <c r="F1631">
        <v>0.05128205128205132</v>
      </c>
      <c r="G1631">
        <v>0.04436902690230249</v>
      </c>
      <c r="H1631">
        <v>1.628277839594612</v>
      </c>
      <c r="I1631">
        <v>2971.661201</v>
      </c>
      <c r="J1631">
        <v>21.71330494165528</v>
      </c>
      <c r="K1631">
        <v>0.5025548887637691</v>
      </c>
      <c r="L1631">
        <v>0.8607734427524441</v>
      </c>
      <c r="M1631">
        <v>104.8</v>
      </c>
      <c r="N1631">
        <v>68.68000000000001</v>
      </c>
    </row>
    <row r="1632" spans="1:14">
      <c r="A1632" s="1" t="s">
        <v>1644</v>
      </c>
      <c r="B1632">
        <f>HYPERLINK("https://www.suredividend.com/sure-analysis-research-database/","Stock Yards Bancorp Inc")</f>
        <v>0</v>
      </c>
      <c r="C1632" t="s">
        <v>1923</v>
      </c>
      <c r="D1632">
        <v>70.03</v>
      </c>
      <c r="E1632">
        <v>0.016026232474181</v>
      </c>
      <c r="F1632">
        <v>0.03571428571428559</v>
      </c>
      <c r="G1632">
        <v>0.06668390127527379</v>
      </c>
      <c r="H1632">
        <v>1.122317060166913</v>
      </c>
      <c r="I1632">
        <v>2047.922585</v>
      </c>
      <c r="J1632">
        <v>24.83805636220301</v>
      </c>
      <c r="K1632">
        <v>0.3753568763100043</v>
      </c>
      <c r="L1632">
        <v>0.4774031816085371</v>
      </c>
      <c r="M1632">
        <v>72.45999999999999</v>
      </c>
      <c r="N1632">
        <v>50.11</v>
      </c>
    </row>
    <row r="1633" spans="1:14">
      <c r="A1633" s="1" t="s">
        <v>1645</v>
      </c>
      <c r="B1633">
        <f>HYPERLINK("https://www.suredividend.com/sure-analysis-research-database/","Synaptics Inc")</f>
        <v>0</v>
      </c>
      <c r="C1633" t="s">
        <v>1920</v>
      </c>
      <c r="D1633">
        <v>93.56999999999999</v>
      </c>
      <c r="E1633">
        <v>0</v>
      </c>
      <c r="H1633">
        <v>0</v>
      </c>
      <c r="I1633">
        <v>3742.217714</v>
      </c>
      <c r="J1633">
        <v>14.53288432578641</v>
      </c>
      <c r="K1633">
        <v>0</v>
      </c>
      <c r="L1633">
        <v>2.08454086230391</v>
      </c>
      <c r="M1633">
        <v>299.39</v>
      </c>
      <c r="N1633">
        <v>91.41</v>
      </c>
    </row>
    <row r="1634" spans="1:14">
      <c r="A1634" s="1" t="s">
        <v>1646</v>
      </c>
      <c r="B1634">
        <f>HYPERLINK("https://www.suredividend.com/sure-analysis-research-database/","Syros Pharmaceuticals Inc.")</f>
        <v>0</v>
      </c>
      <c r="C1634" t="s">
        <v>1922</v>
      </c>
      <c r="D1634">
        <v>6.4</v>
      </c>
      <c r="E1634">
        <v>0</v>
      </c>
      <c r="H1634">
        <v>0</v>
      </c>
      <c r="I1634">
        <v>40.323386</v>
      </c>
      <c r="J1634" t="s">
        <v>1921</v>
      </c>
      <c r="K1634">
        <v>-0</v>
      </c>
      <c r="L1634">
        <v>1.316712505457111</v>
      </c>
      <c r="M1634">
        <v>48</v>
      </c>
      <c r="N1634">
        <v>5.25</v>
      </c>
    </row>
    <row r="1635" spans="1:14">
      <c r="A1635" s="1" t="s">
        <v>1647</v>
      </c>
      <c r="B1635">
        <f>HYPERLINK("https://www.suredividend.com/sure-analysis-research-database/","TravelCenters of America Inc")</f>
        <v>0</v>
      </c>
      <c r="C1635" t="s">
        <v>1927</v>
      </c>
      <c r="D1635">
        <v>53.84</v>
      </c>
      <c r="E1635">
        <v>0</v>
      </c>
      <c r="H1635">
        <v>0</v>
      </c>
      <c r="I1635">
        <v>798.806636</v>
      </c>
      <c r="J1635">
        <v>0</v>
      </c>
      <c r="K1635" t="s">
        <v>1921</v>
      </c>
      <c r="L1635">
        <v>1.389347476764213</v>
      </c>
      <c r="M1635">
        <v>64.58</v>
      </c>
      <c r="N1635">
        <v>31.19</v>
      </c>
    </row>
    <row r="1636" spans="1:14">
      <c r="A1636" s="1" t="s">
        <v>1648</v>
      </c>
      <c r="B1636">
        <f>HYPERLINK("https://www.suredividend.com/sure-analysis-research-database/","Talos Energy Inc")</f>
        <v>0</v>
      </c>
      <c r="C1636" t="s">
        <v>1926</v>
      </c>
      <c r="D1636">
        <v>20.77</v>
      </c>
      <c r="E1636">
        <v>0</v>
      </c>
      <c r="H1636">
        <v>0</v>
      </c>
      <c r="I1636">
        <v>1714.383736</v>
      </c>
      <c r="J1636">
        <v>8.881850864154679</v>
      </c>
      <c r="K1636">
        <v>0</v>
      </c>
      <c r="L1636">
        <v>0.9904054112778741</v>
      </c>
      <c r="M1636">
        <v>25.49</v>
      </c>
      <c r="N1636">
        <v>8.57</v>
      </c>
    </row>
    <row r="1637" spans="1:14">
      <c r="A1637" s="1" t="s">
        <v>1649</v>
      </c>
      <c r="B1637">
        <f>HYPERLINK("https://www.suredividend.com/sure-analysis-research-database/","Talaris Therapeutics Inc")</f>
        <v>0</v>
      </c>
      <c r="C1637" t="s">
        <v>1921</v>
      </c>
      <c r="D1637">
        <v>2.42</v>
      </c>
      <c r="E1637">
        <v>0</v>
      </c>
      <c r="H1637">
        <v>0</v>
      </c>
      <c r="I1637">
        <v>97.608144</v>
      </c>
      <c r="J1637">
        <v>0</v>
      </c>
      <c r="K1637" t="s">
        <v>1921</v>
      </c>
      <c r="L1637">
        <v>1.301588568674309</v>
      </c>
      <c r="M1637">
        <v>17.48</v>
      </c>
      <c r="N1637">
        <v>2.04</v>
      </c>
    </row>
    <row r="1638" spans="1:14">
      <c r="A1638" s="1" t="s">
        <v>1650</v>
      </c>
      <c r="B1638">
        <f>HYPERLINK("https://www.suredividend.com/sure-analysis-research-database/","Tarsus Pharmaceuticals Inc")</f>
        <v>0</v>
      </c>
      <c r="C1638" t="s">
        <v>1921</v>
      </c>
      <c r="D1638">
        <v>16.66</v>
      </c>
      <c r="E1638">
        <v>0</v>
      </c>
      <c r="H1638">
        <v>0</v>
      </c>
      <c r="I1638">
        <v>444.130077</v>
      </c>
      <c r="J1638">
        <v>0</v>
      </c>
      <c r="K1638" t="s">
        <v>1921</v>
      </c>
      <c r="L1638">
        <v>1.083981134054033</v>
      </c>
      <c r="M1638">
        <v>31</v>
      </c>
      <c r="N1638">
        <v>10.8</v>
      </c>
    </row>
    <row r="1639" spans="1:14">
      <c r="A1639" s="1" t="s">
        <v>1651</v>
      </c>
      <c r="B1639">
        <f>HYPERLINK("https://www.suredividend.com/sure-analysis-research-database/","Carrols Restaurant Group Inc.")</f>
        <v>0</v>
      </c>
      <c r="C1639" t="s">
        <v>1927</v>
      </c>
      <c r="D1639">
        <v>1.62</v>
      </c>
      <c r="E1639">
        <v>0</v>
      </c>
      <c r="H1639">
        <v>0</v>
      </c>
      <c r="I1639">
        <v>86.302701</v>
      </c>
      <c r="J1639" t="s">
        <v>1921</v>
      </c>
      <c r="K1639">
        <v>-0</v>
      </c>
      <c r="L1639">
        <v>1.516461077774497</v>
      </c>
      <c r="M1639">
        <v>4.43</v>
      </c>
      <c r="N1639">
        <v>1.28</v>
      </c>
    </row>
    <row r="1640" spans="1:14">
      <c r="A1640" s="1" t="s">
        <v>1652</v>
      </c>
      <c r="B1640">
        <f>HYPERLINK("https://www.suredividend.com/sure-analysis-research-database/","Bancorp Inc. (The)")</f>
        <v>0</v>
      </c>
      <c r="C1640" t="s">
        <v>1923</v>
      </c>
      <c r="D1640">
        <v>22.85</v>
      </c>
      <c r="E1640">
        <v>0</v>
      </c>
      <c r="H1640">
        <v>0</v>
      </c>
      <c r="I1640">
        <v>1292.319841</v>
      </c>
      <c r="J1640">
        <v>11.27472139442162</v>
      </c>
      <c r="K1640">
        <v>0</v>
      </c>
      <c r="L1640">
        <v>1.415762263438887</v>
      </c>
      <c r="M1640">
        <v>33.36</v>
      </c>
      <c r="N1640">
        <v>16.59</v>
      </c>
    </row>
    <row r="1641" spans="1:14">
      <c r="A1641" s="1" t="s">
        <v>1653</v>
      </c>
      <c r="B1641">
        <f>HYPERLINK("https://www.suredividend.com/sure-analysis-research-database/","TrueBlue Inc")</f>
        <v>0</v>
      </c>
      <c r="C1641" t="s">
        <v>1924</v>
      </c>
      <c r="D1641">
        <v>19.91</v>
      </c>
      <c r="E1641">
        <v>0</v>
      </c>
      <c r="H1641">
        <v>0</v>
      </c>
      <c r="I1641">
        <v>662.438193</v>
      </c>
      <c r="J1641">
        <v>9.027011243867872</v>
      </c>
      <c r="K1641">
        <v>0</v>
      </c>
      <c r="L1641">
        <v>0.9166307061921851</v>
      </c>
      <c r="M1641">
        <v>32.91</v>
      </c>
      <c r="N1641">
        <v>15.77</v>
      </c>
    </row>
    <row r="1642" spans="1:14">
      <c r="A1642" s="1" t="s">
        <v>1654</v>
      </c>
      <c r="B1642">
        <f>HYPERLINK("https://www.suredividend.com/sure-analysis-research-database/","Triumph Bancorp Inc")</f>
        <v>0</v>
      </c>
      <c r="C1642" t="s">
        <v>1923</v>
      </c>
      <c r="D1642">
        <v>55.31</v>
      </c>
      <c r="E1642">
        <v>0</v>
      </c>
      <c r="H1642">
        <v>0</v>
      </c>
      <c r="I1642">
        <v>1353.145101</v>
      </c>
      <c r="J1642">
        <v>11.62655606664146</v>
      </c>
      <c r="K1642">
        <v>0</v>
      </c>
      <c r="L1642">
        <v>1.403982707980757</v>
      </c>
      <c r="M1642">
        <v>136.01</v>
      </c>
      <c r="N1642">
        <v>53.68</v>
      </c>
    </row>
    <row r="1643" spans="1:14">
      <c r="A1643" s="1" t="s">
        <v>1655</v>
      </c>
      <c r="B1643">
        <f>HYPERLINK("https://www.suredividend.com/sure-analysis-research-database/","Theravance Biopharma Inc")</f>
        <v>0</v>
      </c>
      <c r="C1643" t="s">
        <v>1922</v>
      </c>
      <c r="D1643">
        <v>9.83</v>
      </c>
      <c r="E1643">
        <v>0</v>
      </c>
      <c r="H1643">
        <v>0</v>
      </c>
      <c r="I1643">
        <v>662.206915</v>
      </c>
      <c r="J1643">
        <v>0</v>
      </c>
      <c r="K1643" t="s">
        <v>1921</v>
      </c>
      <c r="L1643">
        <v>0.7595285282133021</v>
      </c>
      <c r="M1643">
        <v>13.17</v>
      </c>
      <c r="N1643">
        <v>7.47</v>
      </c>
    </row>
    <row r="1644" spans="1:14">
      <c r="A1644" s="1" t="s">
        <v>1656</v>
      </c>
      <c r="B1644">
        <f>HYPERLINK("https://www.suredividend.com/sure-analysis-research-database/","Texas Capital Bancshares, Inc.")</f>
        <v>0</v>
      </c>
      <c r="C1644" t="s">
        <v>1923</v>
      </c>
      <c r="D1644">
        <v>61.89</v>
      </c>
      <c r="E1644">
        <v>0</v>
      </c>
      <c r="H1644">
        <v>0</v>
      </c>
      <c r="I1644">
        <v>3087.350282</v>
      </c>
      <c r="J1644">
        <v>18.70225941234197</v>
      </c>
      <c r="K1644">
        <v>0</v>
      </c>
      <c r="L1644">
        <v>0.915591834954223</v>
      </c>
      <c r="M1644">
        <v>71.59999999999999</v>
      </c>
      <c r="N1644">
        <v>48.79</v>
      </c>
    </row>
    <row r="1645" spans="1:14">
      <c r="A1645" s="1" t="s">
        <v>1657</v>
      </c>
      <c r="B1645">
        <f>HYPERLINK("https://www.suredividend.com/sure-analysis-research-database/","Trico Bancshares")</f>
        <v>0</v>
      </c>
      <c r="C1645" t="s">
        <v>1923</v>
      </c>
      <c r="D1645">
        <v>47.73</v>
      </c>
      <c r="E1645">
        <v>0.021809766584816</v>
      </c>
      <c r="F1645">
        <v>0.2000000000000002</v>
      </c>
      <c r="G1645">
        <v>0.1203003371416174</v>
      </c>
      <c r="H1645">
        <v>1.040980159093276</v>
      </c>
      <c r="I1645">
        <v>1591.624961</v>
      </c>
      <c r="J1645">
        <v>14.82208340978935</v>
      </c>
      <c r="K1645">
        <v>0.2999942821594455</v>
      </c>
      <c r="L1645">
        <v>0.5224279875977821</v>
      </c>
      <c r="M1645">
        <v>49.57</v>
      </c>
      <c r="N1645">
        <v>36.97</v>
      </c>
    </row>
    <row r="1646" spans="1:14">
      <c r="A1646" s="1" t="s">
        <v>1658</v>
      </c>
      <c r="B1646">
        <f>HYPERLINK("https://www.suredividend.com/sure-analysis-research-database/","Third Coast Bancshares Inc")</f>
        <v>0</v>
      </c>
      <c r="C1646" t="s">
        <v>1921</v>
      </c>
      <c r="D1646">
        <v>16.72</v>
      </c>
      <c r="E1646">
        <v>0</v>
      </c>
      <c r="H1646">
        <v>0</v>
      </c>
      <c r="I1646">
        <v>225.744428</v>
      </c>
      <c r="J1646">
        <v>0</v>
      </c>
      <c r="K1646" t="s">
        <v>1921</v>
      </c>
      <c r="M1646">
        <v>30.5</v>
      </c>
      <c r="N1646">
        <v>16.61</v>
      </c>
    </row>
    <row r="1647" spans="1:14">
      <c r="A1647" s="1" t="s">
        <v>1659</v>
      </c>
      <c r="B1647">
        <f>HYPERLINK("https://www.suredividend.com/sure-analysis-research-database/","Tactile Systems Technology Inc")</f>
        <v>0</v>
      </c>
      <c r="C1647" t="s">
        <v>1922</v>
      </c>
      <c r="D1647">
        <v>7.26</v>
      </c>
      <c r="E1647">
        <v>0</v>
      </c>
      <c r="H1647">
        <v>0</v>
      </c>
      <c r="I1647">
        <v>146.158908</v>
      </c>
      <c r="J1647" t="s">
        <v>1921</v>
      </c>
      <c r="K1647">
        <v>-0</v>
      </c>
      <c r="L1647">
        <v>1.431600702133091</v>
      </c>
      <c r="M1647">
        <v>39.01</v>
      </c>
      <c r="N1647">
        <v>6.28</v>
      </c>
    </row>
    <row r="1648" spans="1:14">
      <c r="A1648" s="1" t="s">
        <v>1660</v>
      </c>
      <c r="B1648">
        <f>HYPERLINK("https://www.suredividend.com/sure-analysis-research-database/","Tcr2 Therapeutics Inc")</f>
        <v>0</v>
      </c>
      <c r="C1648" t="s">
        <v>1922</v>
      </c>
      <c r="D1648">
        <v>1.71</v>
      </c>
      <c r="E1648">
        <v>0</v>
      </c>
      <c r="H1648">
        <v>0</v>
      </c>
      <c r="I1648">
        <v>66.01698500000001</v>
      </c>
      <c r="J1648">
        <v>0</v>
      </c>
      <c r="K1648" t="s">
        <v>1921</v>
      </c>
      <c r="L1648">
        <v>1.156782552721979</v>
      </c>
      <c r="M1648">
        <v>8.82</v>
      </c>
      <c r="N1648">
        <v>1.6</v>
      </c>
    </row>
    <row r="1649" spans="1:14">
      <c r="A1649" s="1" t="s">
        <v>1661</v>
      </c>
      <c r="B1649">
        <f>HYPERLINK("https://www.suredividend.com/sure-analysis-research-database/","Alaunos Therapeutics Inc")</f>
        <v>0</v>
      </c>
      <c r="C1649" t="s">
        <v>1921</v>
      </c>
      <c r="D1649">
        <v>1.46</v>
      </c>
      <c r="E1649">
        <v>0</v>
      </c>
      <c r="H1649">
        <v>0</v>
      </c>
      <c r="I1649">
        <v>315.653156</v>
      </c>
      <c r="J1649">
        <v>0</v>
      </c>
      <c r="K1649" t="s">
        <v>1921</v>
      </c>
      <c r="L1649">
        <v>1.772765783295767</v>
      </c>
      <c r="M1649">
        <v>4.01</v>
      </c>
      <c r="N1649">
        <v>0.4053</v>
      </c>
    </row>
    <row r="1650" spans="1:14">
      <c r="A1650" s="1" t="s">
        <v>1662</v>
      </c>
      <c r="B1650">
        <f>HYPERLINK("https://www.suredividend.com/sure-analysis-research-database/","Container Store Group Inc")</f>
        <v>0</v>
      </c>
      <c r="C1650" t="s">
        <v>1927</v>
      </c>
      <c r="D1650">
        <v>4.94</v>
      </c>
      <c r="E1650">
        <v>0</v>
      </c>
      <c r="H1650">
        <v>0</v>
      </c>
      <c r="I1650">
        <v>254.575371</v>
      </c>
      <c r="J1650">
        <v>3.415972780140892</v>
      </c>
      <c r="K1650">
        <v>0</v>
      </c>
      <c r="L1650">
        <v>1.105248915193712</v>
      </c>
      <c r="M1650">
        <v>14.25</v>
      </c>
      <c r="N1650">
        <v>4.81</v>
      </c>
    </row>
    <row r="1651" spans="1:14">
      <c r="A1651" s="1" t="s">
        <v>1663</v>
      </c>
      <c r="B1651">
        <f>HYPERLINK("https://www.suredividend.com/sure-analysis-research-database/","Tucows, Inc.")</f>
        <v>0</v>
      </c>
      <c r="C1651" t="s">
        <v>1920</v>
      </c>
      <c r="D1651">
        <v>40.59</v>
      </c>
      <c r="E1651">
        <v>0</v>
      </c>
      <c r="H1651">
        <v>0</v>
      </c>
      <c r="I1651">
        <v>437.134857</v>
      </c>
      <c r="J1651" t="s">
        <v>1921</v>
      </c>
      <c r="K1651">
        <v>-0</v>
      </c>
      <c r="L1651">
        <v>0.978419464779217</v>
      </c>
      <c r="M1651">
        <v>92.93000000000001</v>
      </c>
      <c r="N1651">
        <v>37.06</v>
      </c>
    </row>
    <row r="1652" spans="1:14">
      <c r="A1652" s="1" t="s">
        <v>1664</v>
      </c>
      <c r="B1652">
        <f>HYPERLINK("https://www.suredividend.com/sure-analysis-TDS/","Telephone And Data Systems, Inc.")</f>
        <v>0</v>
      </c>
      <c r="C1652" t="s">
        <v>1931</v>
      </c>
      <c r="D1652">
        <v>14.02</v>
      </c>
      <c r="E1652">
        <v>0.05135520684736091</v>
      </c>
      <c r="F1652">
        <v>0.02857142857142847</v>
      </c>
      <c r="G1652">
        <v>0.03035803310185115</v>
      </c>
      <c r="H1652">
        <v>0.7031248775439001</v>
      </c>
      <c r="I1652">
        <v>1493.533776</v>
      </c>
      <c r="J1652">
        <v>14.642488</v>
      </c>
      <c r="K1652">
        <v>0.7996416212258615</v>
      </c>
      <c r="L1652">
        <v>0.553383123943758</v>
      </c>
      <c r="M1652">
        <v>20.78</v>
      </c>
      <c r="N1652">
        <v>13.54</v>
      </c>
    </row>
    <row r="1653" spans="1:14">
      <c r="A1653" s="1" t="s">
        <v>1665</v>
      </c>
      <c r="B1653">
        <f>HYPERLINK("https://www.suredividend.com/sure-analysis-research-database/","Tidewater Inc.")</f>
        <v>0</v>
      </c>
      <c r="C1653" t="s">
        <v>1926</v>
      </c>
      <c r="D1653">
        <v>23.71</v>
      </c>
      <c r="E1653">
        <v>0</v>
      </c>
      <c r="H1653">
        <v>0</v>
      </c>
      <c r="I1653">
        <v>1000.325801</v>
      </c>
      <c r="J1653" t="s">
        <v>1921</v>
      </c>
      <c r="K1653">
        <v>-0</v>
      </c>
      <c r="L1653">
        <v>0.5100395740400431</v>
      </c>
      <c r="M1653">
        <v>28.79</v>
      </c>
      <c r="N1653">
        <v>9.75</v>
      </c>
    </row>
    <row r="1654" spans="1:14">
      <c r="A1654" s="1" t="s">
        <v>1666</v>
      </c>
      <c r="B1654">
        <f>HYPERLINK("https://www.suredividend.com/sure-analysis-research-database/","Tellurian Inc")</f>
        <v>0</v>
      </c>
      <c r="C1654" t="s">
        <v>1926</v>
      </c>
      <c r="D1654">
        <v>2.55</v>
      </c>
      <c r="E1654">
        <v>0</v>
      </c>
      <c r="H1654">
        <v>0</v>
      </c>
      <c r="I1654">
        <v>1449.98153</v>
      </c>
      <c r="J1654" t="s">
        <v>1921</v>
      </c>
      <c r="K1654">
        <v>-0</v>
      </c>
      <c r="L1654">
        <v>1.675455528855615</v>
      </c>
      <c r="M1654">
        <v>6.54</v>
      </c>
      <c r="N1654">
        <v>1.54</v>
      </c>
    </row>
    <row r="1655" spans="1:14">
      <c r="A1655" s="1" t="s">
        <v>1667</v>
      </c>
      <c r="B1655">
        <f>HYPERLINK("https://www.suredividend.com/sure-analysis-research-database/","Tenneco, Inc.")</f>
        <v>0</v>
      </c>
      <c r="C1655" t="s">
        <v>1927</v>
      </c>
      <c r="D1655">
        <v>18.11</v>
      </c>
      <c r="E1655">
        <v>0</v>
      </c>
      <c r="H1655">
        <v>0</v>
      </c>
      <c r="I1655">
        <v>1510.197409</v>
      </c>
      <c r="J1655" t="s">
        <v>1921</v>
      </c>
      <c r="K1655">
        <v>-0</v>
      </c>
      <c r="L1655">
        <v>0.366047812254108</v>
      </c>
      <c r="M1655">
        <v>19.6</v>
      </c>
      <c r="N1655">
        <v>9.51</v>
      </c>
    </row>
    <row r="1656" spans="1:14">
      <c r="A1656" s="1" t="s">
        <v>1668</v>
      </c>
      <c r="B1656">
        <f>HYPERLINK("https://www.suredividend.com/sure-analysis-research-database/","Tenable Holdings Inc")</f>
        <v>0</v>
      </c>
      <c r="C1656" t="s">
        <v>1920</v>
      </c>
      <c r="D1656">
        <v>30.54</v>
      </c>
      <c r="E1656">
        <v>0</v>
      </c>
      <c r="H1656">
        <v>0</v>
      </c>
      <c r="I1656">
        <v>3409.6117</v>
      </c>
      <c r="J1656" t="s">
        <v>1921</v>
      </c>
      <c r="K1656">
        <v>-0</v>
      </c>
      <c r="L1656">
        <v>1.398751718098754</v>
      </c>
      <c r="M1656">
        <v>63.61</v>
      </c>
      <c r="N1656">
        <v>30.4</v>
      </c>
    </row>
    <row r="1657" spans="1:14">
      <c r="A1657" s="1" t="s">
        <v>1669</v>
      </c>
      <c r="B1657">
        <f>HYPERLINK("https://www.suredividend.com/sure-analysis-research-database/","Terns Pharmaceuticals Inc")</f>
        <v>0</v>
      </c>
      <c r="C1657" t="s">
        <v>1921</v>
      </c>
      <c r="D1657">
        <v>5.6</v>
      </c>
      <c r="E1657">
        <v>0</v>
      </c>
      <c r="H1657">
        <v>0</v>
      </c>
      <c r="I1657">
        <v>142.037442</v>
      </c>
      <c r="J1657">
        <v>0</v>
      </c>
      <c r="K1657" t="s">
        <v>1921</v>
      </c>
      <c r="L1657">
        <v>1.020380601230314</v>
      </c>
      <c r="M1657">
        <v>10.69</v>
      </c>
      <c r="N1657">
        <v>1.45</v>
      </c>
    </row>
    <row r="1658" spans="1:14">
      <c r="A1658" s="1" t="s">
        <v>1670</v>
      </c>
      <c r="B1658">
        <f>HYPERLINK("https://www.suredividend.com/sure-analysis-research-database/","Terex Corp.")</f>
        <v>0</v>
      </c>
      <c r="C1658" t="s">
        <v>1924</v>
      </c>
      <c r="D1658">
        <v>31.61</v>
      </c>
      <c r="E1658">
        <v>0.016049601814047</v>
      </c>
      <c r="H1658">
        <v>0.5073279133420261</v>
      </c>
      <c r="I1658">
        <v>2143.158</v>
      </c>
      <c r="J1658">
        <v>9.202052382996994</v>
      </c>
      <c r="K1658">
        <v>0.1537357313157655</v>
      </c>
      <c r="L1658">
        <v>1.450690565192463</v>
      </c>
      <c r="M1658">
        <v>50.9</v>
      </c>
      <c r="N1658">
        <v>26.55</v>
      </c>
    </row>
    <row r="1659" spans="1:14">
      <c r="A1659" s="1" t="s">
        <v>1671</v>
      </c>
      <c r="B1659">
        <f>HYPERLINK("https://www.suredividend.com/sure-analysis-research-database/","Tredegar Corp.")</f>
        <v>0</v>
      </c>
      <c r="C1659" t="s">
        <v>1925</v>
      </c>
      <c r="D1659">
        <v>10.06</v>
      </c>
      <c r="E1659">
        <v>0.047887301349635</v>
      </c>
      <c r="F1659">
        <v>0.08333333333333348</v>
      </c>
      <c r="G1659">
        <v>0.03397522653195018</v>
      </c>
      <c r="H1659">
        <v>0.481746251577335</v>
      </c>
      <c r="I1659">
        <v>341.863739</v>
      </c>
      <c r="J1659">
        <v>5.809069477315209</v>
      </c>
      <c r="K1659">
        <v>0.2752835723299057</v>
      </c>
      <c r="L1659">
        <v>0.6617563923059131</v>
      </c>
      <c r="M1659">
        <v>12.72</v>
      </c>
      <c r="N1659">
        <v>9.43</v>
      </c>
    </row>
    <row r="1660" spans="1:14">
      <c r="A1660" s="1" t="s">
        <v>1672</v>
      </c>
      <c r="B1660">
        <f>HYPERLINK("https://www.suredividend.com/sure-analysis-research-database/","Textainer Group Holdings Limited")</f>
        <v>0</v>
      </c>
      <c r="C1660" t="s">
        <v>1924</v>
      </c>
      <c r="D1660">
        <v>26.93</v>
      </c>
      <c r="E1660">
        <v>0.027626364102738</v>
      </c>
      <c r="H1660">
        <v>0.7439779852867481</v>
      </c>
      <c r="I1660">
        <v>1336.63336</v>
      </c>
      <c r="J1660">
        <v>4.626485708891034</v>
      </c>
      <c r="K1660">
        <v>0.1276120043373496</v>
      </c>
      <c r="L1660">
        <v>1.034491845096385</v>
      </c>
      <c r="M1660">
        <v>40.94</v>
      </c>
      <c r="N1660">
        <v>25.26</v>
      </c>
    </row>
    <row r="1661" spans="1:14">
      <c r="A1661" s="1" t="s">
        <v>1673</v>
      </c>
      <c r="B1661">
        <f>HYPERLINK("https://www.suredividend.com/sure-analysis-research-database/","Triumph Group Inc.")</f>
        <v>0</v>
      </c>
      <c r="C1661" t="s">
        <v>1924</v>
      </c>
      <c r="D1661">
        <v>8.93</v>
      </c>
      <c r="E1661">
        <v>0</v>
      </c>
      <c r="H1661">
        <v>0</v>
      </c>
      <c r="I1661">
        <v>580.1839220000001</v>
      </c>
      <c r="J1661" t="s">
        <v>1921</v>
      </c>
      <c r="K1661">
        <v>-0</v>
      </c>
      <c r="L1661">
        <v>1.772398678003374</v>
      </c>
      <c r="M1661">
        <v>27.85</v>
      </c>
      <c r="N1661">
        <v>8.58</v>
      </c>
    </row>
    <row r="1662" spans="1:14">
      <c r="A1662" s="1" t="s">
        <v>1674</v>
      </c>
      <c r="B1662">
        <f>HYPERLINK("https://www.suredividend.com/sure-analysis-research-database/","TEGNA Inc")</f>
        <v>0</v>
      </c>
      <c r="C1662" t="s">
        <v>1931</v>
      </c>
      <c r="D1662">
        <v>20.37</v>
      </c>
      <c r="E1662">
        <v>0.01853275868044</v>
      </c>
      <c r="F1662">
        <v>0</v>
      </c>
      <c r="G1662">
        <v>0.06298004826234438</v>
      </c>
      <c r="H1662">
        <v>0.377512294320581</v>
      </c>
      <c r="I1662">
        <v>4544.766935</v>
      </c>
      <c r="J1662">
        <v>8.681271054623181</v>
      </c>
      <c r="K1662">
        <v>0.1613300403079406</v>
      </c>
      <c r="L1662">
        <v>0.3723595066021531</v>
      </c>
      <c r="M1662">
        <v>22.76</v>
      </c>
      <c r="N1662">
        <v>17.71</v>
      </c>
    </row>
    <row r="1663" spans="1:14">
      <c r="A1663" s="1" t="s">
        <v>1675</v>
      </c>
      <c r="B1663">
        <f>HYPERLINK("https://www.suredividend.com/sure-analysis-research-database/","TG Therapeutics Inc")</f>
        <v>0</v>
      </c>
      <c r="C1663" t="s">
        <v>1922</v>
      </c>
      <c r="D1663">
        <v>5.22</v>
      </c>
      <c r="E1663">
        <v>0</v>
      </c>
      <c r="H1663">
        <v>0</v>
      </c>
      <c r="I1663">
        <v>758.330531</v>
      </c>
      <c r="J1663" t="s">
        <v>1921</v>
      </c>
      <c r="K1663">
        <v>-0</v>
      </c>
      <c r="L1663">
        <v>2.365928392523645</v>
      </c>
      <c r="M1663">
        <v>35.94</v>
      </c>
      <c r="N1663">
        <v>3.48</v>
      </c>
    </row>
    <row r="1664" spans="1:14">
      <c r="A1664" s="1" t="s">
        <v>1676</v>
      </c>
      <c r="B1664">
        <f>HYPERLINK("https://www.suredividend.com/sure-analysis-research-database/","Target Hospitality Corp")</f>
        <v>0</v>
      </c>
      <c r="C1664" t="s">
        <v>1926</v>
      </c>
      <c r="D1664">
        <v>11.69</v>
      </c>
      <c r="E1664">
        <v>0</v>
      </c>
      <c r="H1664">
        <v>0</v>
      </c>
      <c r="I1664">
        <v>1136.604567</v>
      </c>
      <c r="J1664">
        <v>0</v>
      </c>
      <c r="K1664" t="s">
        <v>1921</v>
      </c>
      <c r="L1664">
        <v>0.422280280945888</v>
      </c>
      <c r="M1664">
        <v>15.67</v>
      </c>
      <c r="N1664">
        <v>2.72</v>
      </c>
    </row>
    <row r="1665" spans="1:14">
      <c r="A1665" s="1" t="s">
        <v>1677</v>
      </c>
      <c r="B1665">
        <f>HYPERLINK("https://www.suredividend.com/sure-analysis-research-database/","Tenet Healthcare Corp.")</f>
        <v>0</v>
      </c>
      <c r="C1665" t="s">
        <v>1922</v>
      </c>
      <c r="D1665">
        <v>53.04</v>
      </c>
      <c r="E1665">
        <v>0</v>
      </c>
      <c r="H1665">
        <v>0</v>
      </c>
      <c r="I1665">
        <v>5722.416913</v>
      </c>
      <c r="J1665">
        <v>6.532439398630137</v>
      </c>
      <c r="K1665">
        <v>0</v>
      </c>
      <c r="L1665">
        <v>1.402175833553328</v>
      </c>
      <c r="M1665">
        <v>92.65000000000001</v>
      </c>
      <c r="N1665">
        <v>49.45</v>
      </c>
    </row>
    <row r="1666" spans="1:14">
      <c r="A1666" s="1" t="s">
        <v>1678</v>
      </c>
      <c r="B1666">
        <f>HYPERLINK("https://www.suredividend.com/sure-analysis-THFF/","First Financial Corp. - Indiana")</f>
        <v>0</v>
      </c>
      <c r="C1666" t="s">
        <v>1923</v>
      </c>
      <c r="D1666">
        <v>45.9</v>
      </c>
      <c r="E1666">
        <v>0.02352941176470589</v>
      </c>
      <c r="H1666">
        <v>1.063548425557032</v>
      </c>
      <c r="I1666">
        <v>552.2285460000001</v>
      </c>
      <c r="J1666">
        <v>9.198749782619558</v>
      </c>
      <c r="K1666">
        <v>0.2239049316962173</v>
      </c>
      <c r="L1666">
        <v>0.22464816401085</v>
      </c>
      <c r="M1666">
        <v>49</v>
      </c>
      <c r="N1666">
        <v>40.78</v>
      </c>
    </row>
    <row r="1667" spans="1:14">
      <c r="A1667" s="1" t="s">
        <v>1679</v>
      </c>
      <c r="B1667">
        <f>HYPERLINK("https://www.suredividend.com/sure-analysis-research-database/","Thermon Group Holdings Inc")</f>
        <v>0</v>
      </c>
      <c r="C1667" t="s">
        <v>1924</v>
      </c>
      <c r="D1667">
        <v>15.65</v>
      </c>
      <c r="E1667">
        <v>0</v>
      </c>
      <c r="H1667">
        <v>0</v>
      </c>
      <c r="I1667">
        <v>523.8799</v>
      </c>
      <c r="J1667">
        <v>20.32038711066289</v>
      </c>
      <c r="K1667">
        <v>0</v>
      </c>
      <c r="L1667">
        <v>0.764527087775098</v>
      </c>
      <c r="M1667">
        <v>20.35</v>
      </c>
      <c r="N1667">
        <v>13.26</v>
      </c>
    </row>
    <row r="1668" spans="1:14">
      <c r="A1668" s="1" t="s">
        <v>1680</v>
      </c>
      <c r="B1668">
        <f>HYPERLINK("https://www.suredividend.com/sure-analysis-research-database/","Gentherm Inc")</f>
        <v>0</v>
      </c>
      <c r="C1668" t="s">
        <v>1927</v>
      </c>
      <c r="D1668">
        <v>55</v>
      </c>
      <c r="E1668">
        <v>0</v>
      </c>
      <c r="H1668">
        <v>0</v>
      </c>
      <c r="I1668">
        <v>1824.059655</v>
      </c>
      <c r="J1668">
        <v>33.4364682968856</v>
      </c>
      <c r="K1668">
        <v>0</v>
      </c>
      <c r="L1668">
        <v>1.274655099941183</v>
      </c>
      <c r="M1668">
        <v>99</v>
      </c>
      <c r="N1668">
        <v>49.45</v>
      </c>
    </row>
    <row r="1669" spans="1:14">
      <c r="A1669" s="1" t="s">
        <v>1681</v>
      </c>
      <c r="B1669">
        <f>HYPERLINK("https://www.suredividend.com/sure-analysis-research-database/","Theseus Pharmaceuticals Inc")</f>
        <v>0</v>
      </c>
      <c r="C1669" t="s">
        <v>1921</v>
      </c>
      <c r="D1669">
        <v>5.39</v>
      </c>
      <c r="E1669">
        <v>0</v>
      </c>
      <c r="H1669">
        <v>0</v>
      </c>
      <c r="I1669">
        <v>208.665388</v>
      </c>
      <c r="J1669">
        <v>0</v>
      </c>
      <c r="K1669" t="s">
        <v>1921</v>
      </c>
      <c r="L1669">
        <v>1.417521205195178</v>
      </c>
      <c r="M1669">
        <v>20.78</v>
      </c>
      <c r="N1669">
        <v>4.86</v>
      </c>
    </row>
    <row r="1670" spans="1:14">
      <c r="A1670" s="1" t="s">
        <v>1682</v>
      </c>
      <c r="B1670">
        <f>HYPERLINK("https://www.suredividend.com/sure-analysis-research-database/","Thryv Holdings Inc")</f>
        <v>0</v>
      </c>
      <c r="C1670" t="s">
        <v>1921</v>
      </c>
      <c r="D1670">
        <v>21.37</v>
      </c>
      <c r="E1670">
        <v>0</v>
      </c>
      <c r="H1670">
        <v>0</v>
      </c>
      <c r="I1670">
        <v>735.939633</v>
      </c>
      <c r="J1670">
        <v>0</v>
      </c>
      <c r="K1670" t="s">
        <v>1921</v>
      </c>
      <c r="L1670">
        <v>0.9403376708947461</v>
      </c>
      <c r="M1670">
        <v>42.99</v>
      </c>
      <c r="N1670">
        <v>21.28</v>
      </c>
    </row>
    <row r="1671" spans="1:14">
      <c r="A1671" s="1" t="s">
        <v>1683</v>
      </c>
      <c r="B1671">
        <f>HYPERLINK("https://www.suredividend.com/sure-analysis-research-database/","Treehouse Foods Inc")</f>
        <v>0</v>
      </c>
      <c r="C1671" t="s">
        <v>1928</v>
      </c>
      <c r="D1671">
        <v>46.27</v>
      </c>
      <c r="E1671">
        <v>0</v>
      </c>
      <c r="H1671">
        <v>0</v>
      </c>
      <c r="I1671">
        <v>2593.090362</v>
      </c>
      <c r="J1671" t="s">
        <v>1921</v>
      </c>
      <c r="K1671">
        <v>-0</v>
      </c>
      <c r="L1671">
        <v>0.5331427745648161</v>
      </c>
      <c r="M1671">
        <v>50.39</v>
      </c>
      <c r="N1671">
        <v>29.47</v>
      </c>
    </row>
    <row r="1672" spans="1:14">
      <c r="A1672" s="1" t="s">
        <v>1684</v>
      </c>
      <c r="B1672">
        <f>HYPERLINK("https://www.suredividend.com/sure-analysis-research-database/","Trean Insurance Group Inc")</f>
        <v>0</v>
      </c>
      <c r="C1672" t="s">
        <v>1921</v>
      </c>
      <c r="D1672">
        <v>3.35</v>
      </c>
      <c r="E1672">
        <v>0</v>
      </c>
      <c r="H1672">
        <v>0</v>
      </c>
      <c r="I1672">
        <v>171.527156</v>
      </c>
      <c r="J1672">
        <v>0</v>
      </c>
      <c r="K1672" t="s">
        <v>1921</v>
      </c>
      <c r="L1672">
        <v>0.551811259002857</v>
      </c>
      <c r="M1672">
        <v>10.87</v>
      </c>
      <c r="N1672">
        <v>3.13</v>
      </c>
    </row>
    <row r="1673" spans="1:14">
      <c r="A1673" s="1" t="s">
        <v>1685</v>
      </c>
      <c r="B1673">
        <f>HYPERLINK("https://www.suredividend.com/sure-analysis-research-database/","Instil Bio Inc")</f>
        <v>0</v>
      </c>
      <c r="C1673" t="s">
        <v>1921</v>
      </c>
      <c r="D1673">
        <v>4.65</v>
      </c>
      <c r="E1673">
        <v>0</v>
      </c>
      <c r="H1673">
        <v>0</v>
      </c>
      <c r="I1673">
        <v>603.078816</v>
      </c>
      <c r="J1673">
        <v>0</v>
      </c>
      <c r="K1673" t="s">
        <v>1921</v>
      </c>
      <c r="L1673">
        <v>1.727881971089088</v>
      </c>
      <c r="M1673">
        <v>23.22</v>
      </c>
      <c r="N1673">
        <v>3.9</v>
      </c>
    </row>
    <row r="1674" spans="1:14">
      <c r="A1674" s="1" t="s">
        <v>1686</v>
      </c>
      <c r="B1674">
        <f>HYPERLINK("https://www.suredividend.com/sure-analysis-research-database/","Interface Inc.")</f>
        <v>0</v>
      </c>
      <c r="C1674" t="s">
        <v>1927</v>
      </c>
      <c r="D1674">
        <v>10.24</v>
      </c>
      <c r="E1674">
        <v>0.003901536588742</v>
      </c>
      <c r="F1674">
        <v>0</v>
      </c>
      <c r="G1674">
        <v>-0.312271014707454</v>
      </c>
      <c r="H1674">
        <v>0.03995173466871901</v>
      </c>
      <c r="I1674">
        <v>601.727355</v>
      </c>
      <c r="J1674">
        <v>9.639976848446013</v>
      </c>
      <c r="K1674">
        <v>0.03804927111306572</v>
      </c>
      <c r="L1674">
        <v>1.256464737485116</v>
      </c>
      <c r="M1674">
        <v>17.98</v>
      </c>
      <c r="N1674">
        <v>8.9</v>
      </c>
    </row>
    <row r="1675" spans="1:14">
      <c r="A1675" s="1" t="s">
        <v>1687</v>
      </c>
      <c r="B1675">
        <f>HYPERLINK("https://www.suredividend.com/sure-analysis-research-database/","Tiptree Inc")</f>
        <v>0</v>
      </c>
      <c r="C1675" t="s">
        <v>1923</v>
      </c>
      <c r="D1675">
        <v>10.73</v>
      </c>
      <c r="E1675">
        <v>0.014835894684743</v>
      </c>
      <c r="H1675">
        <v>0.1591891499673</v>
      </c>
      <c r="I1675">
        <v>389.584089</v>
      </c>
      <c r="J1675">
        <v>0</v>
      </c>
      <c r="K1675" t="s">
        <v>1921</v>
      </c>
      <c r="L1675">
        <v>0.8625301573157451</v>
      </c>
      <c r="M1675">
        <v>17.08</v>
      </c>
      <c r="N1675">
        <v>9.77</v>
      </c>
    </row>
    <row r="1676" spans="1:14">
      <c r="A1676" s="1" t="s">
        <v>1688</v>
      </c>
      <c r="B1676">
        <f>HYPERLINK("https://www.suredividend.com/sure-analysis-research-database/","Team, Inc.")</f>
        <v>0</v>
      </c>
      <c r="C1676" t="s">
        <v>1924</v>
      </c>
      <c r="D1676">
        <v>0.9400000000000001</v>
      </c>
      <c r="E1676">
        <v>0</v>
      </c>
      <c r="H1676">
        <v>0</v>
      </c>
      <c r="I1676">
        <v>40.630446</v>
      </c>
      <c r="J1676" t="s">
        <v>1921</v>
      </c>
      <c r="K1676">
        <v>-0</v>
      </c>
      <c r="L1676">
        <v>1.778976323984721</v>
      </c>
      <c r="M1676">
        <v>3.42</v>
      </c>
      <c r="N1676">
        <v>0.52</v>
      </c>
    </row>
    <row r="1677" spans="1:14">
      <c r="A1677" s="1" t="s">
        <v>1689</v>
      </c>
      <c r="B1677">
        <f>HYPERLINK("https://www.suredividend.com/sure-analysis-research-database/","Titan Machinery Inc")</f>
        <v>0</v>
      </c>
      <c r="C1677" t="s">
        <v>1924</v>
      </c>
      <c r="D1677">
        <v>30.65</v>
      </c>
      <c r="E1677">
        <v>0</v>
      </c>
      <c r="H1677">
        <v>0</v>
      </c>
      <c r="I1677">
        <v>691.707116</v>
      </c>
      <c r="J1677">
        <v>8.08040741329159</v>
      </c>
      <c r="K1677">
        <v>0</v>
      </c>
      <c r="L1677">
        <v>1.211239025352864</v>
      </c>
      <c r="M1677">
        <v>38.58</v>
      </c>
      <c r="N1677">
        <v>21.5</v>
      </c>
    </row>
    <row r="1678" spans="1:14">
      <c r="A1678" s="1" t="s">
        <v>1690</v>
      </c>
      <c r="B1678">
        <f>HYPERLINK("https://www.suredividend.com/sure-analysis-research-database/","Teekay Corp")</f>
        <v>0</v>
      </c>
      <c r="C1678" t="s">
        <v>1926</v>
      </c>
      <c r="D1678">
        <v>3.32</v>
      </c>
      <c r="E1678">
        <v>0</v>
      </c>
      <c r="H1678">
        <v>0</v>
      </c>
      <c r="I1678">
        <v>337.6216</v>
      </c>
      <c r="J1678" t="s">
        <v>1921</v>
      </c>
      <c r="K1678">
        <v>-0</v>
      </c>
      <c r="L1678">
        <v>0.575629060848589</v>
      </c>
      <c r="M1678">
        <v>3.9</v>
      </c>
      <c r="N1678">
        <v>2.54</v>
      </c>
    </row>
    <row r="1679" spans="1:14">
      <c r="A1679" s="1" t="s">
        <v>1691</v>
      </c>
      <c r="B1679">
        <f>HYPERLINK("https://www.suredividend.com/sure-analysis-research-database/","Alpha Teknova Inc")</f>
        <v>0</v>
      </c>
      <c r="C1679" t="s">
        <v>1921</v>
      </c>
      <c r="D1679">
        <v>3.55</v>
      </c>
      <c r="E1679">
        <v>0</v>
      </c>
      <c r="H1679">
        <v>0</v>
      </c>
      <c r="I1679">
        <v>99.72121799999999</v>
      </c>
      <c r="J1679">
        <v>0</v>
      </c>
      <c r="K1679" t="s">
        <v>1921</v>
      </c>
      <c r="L1679">
        <v>1.265534528604439</v>
      </c>
      <c r="M1679">
        <v>27.6</v>
      </c>
      <c r="N1679">
        <v>3.28</v>
      </c>
    </row>
    <row r="1680" spans="1:14">
      <c r="A1680" s="1" t="s">
        <v>1692</v>
      </c>
      <c r="B1680">
        <f>HYPERLINK("https://www.suredividend.com/sure-analysis-research-database/","Talis Biomedical Corp")</f>
        <v>0</v>
      </c>
      <c r="C1680" t="s">
        <v>1921</v>
      </c>
      <c r="D1680">
        <v>0.6977</v>
      </c>
      <c r="E1680">
        <v>0</v>
      </c>
      <c r="H1680">
        <v>0</v>
      </c>
      <c r="I1680">
        <v>18.57223</v>
      </c>
      <c r="J1680">
        <v>0</v>
      </c>
      <c r="K1680" t="s">
        <v>1921</v>
      </c>
      <c r="L1680">
        <v>0.820669324251693</v>
      </c>
      <c r="M1680">
        <v>6.45</v>
      </c>
      <c r="N1680">
        <v>0.6665</v>
      </c>
    </row>
    <row r="1681" spans="1:14">
      <c r="A1681" s="1" t="s">
        <v>1693</v>
      </c>
      <c r="B1681">
        <f>HYPERLINK("https://www.suredividend.com/sure-analysis-research-database/","Telos Corp")</f>
        <v>0</v>
      </c>
      <c r="C1681" t="s">
        <v>1921</v>
      </c>
      <c r="D1681">
        <v>8.449999999999999</v>
      </c>
      <c r="E1681">
        <v>0</v>
      </c>
      <c r="H1681">
        <v>0</v>
      </c>
      <c r="I1681">
        <v>573.480375</v>
      </c>
      <c r="J1681">
        <v>0</v>
      </c>
      <c r="K1681" t="s">
        <v>1921</v>
      </c>
      <c r="L1681">
        <v>1.418636452511889</v>
      </c>
      <c r="M1681">
        <v>28.94</v>
      </c>
      <c r="N1681">
        <v>6.54</v>
      </c>
    </row>
    <row r="1682" spans="1:14">
      <c r="A1682" s="1" t="s">
        <v>1694</v>
      </c>
      <c r="B1682">
        <f>HYPERLINK("https://www.suredividend.com/sure-analysis-research-database/","Tillys Inc")</f>
        <v>0</v>
      </c>
      <c r="C1682" t="s">
        <v>1927</v>
      </c>
      <c r="D1682">
        <v>7.43</v>
      </c>
      <c r="E1682">
        <v>0</v>
      </c>
      <c r="H1682">
        <v>0</v>
      </c>
      <c r="I1682">
        <v>169.438282</v>
      </c>
      <c r="J1682">
        <v>4.515464290054365</v>
      </c>
      <c r="K1682">
        <v>0</v>
      </c>
      <c r="L1682">
        <v>1.111760618533753</v>
      </c>
      <c r="M1682">
        <v>16.95</v>
      </c>
      <c r="N1682">
        <v>6.65</v>
      </c>
    </row>
    <row r="1683" spans="1:14">
      <c r="A1683" s="1" t="s">
        <v>1695</v>
      </c>
      <c r="B1683">
        <f>HYPERLINK("https://www.suredividend.com/sure-analysis-research-database/","Treace Medical Concepts Inc")</f>
        <v>0</v>
      </c>
      <c r="C1683" t="s">
        <v>1921</v>
      </c>
      <c r="D1683">
        <v>21.9</v>
      </c>
      <c r="E1683">
        <v>0</v>
      </c>
      <c r="H1683">
        <v>0</v>
      </c>
      <c r="I1683">
        <v>1213.331504</v>
      </c>
      <c r="J1683">
        <v>0</v>
      </c>
      <c r="K1683" t="s">
        <v>1921</v>
      </c>
      <c r="L1683">
        <v>1.482334715153126</v>
      </c>
      <c r="M1683">
        <v>25.69</v>
      </c>
      <c r="N1683">
        <v>12.48</v>
      </c>
    </row>
    <row r="1684" spans="1:14">
      <c r="A1684" s="1" t="s">
        <v>1696</v>
      </c>
      <c r="B1684">
        <f>HYPERLINK("https://www.suredividend.com/sure-analysis-research-database/","Transmedics Group Inc")</f>
        <v>0</v>
      </c>
      <c r="C1684" t="s">
        <v>1922</v>
      </c>
      <c r="D1684">
        <v>40.26</v>
      </c>
      <c r="E1684">
        <v>0</v>
      </c>
      <c r="H1684">
        <v>0</v>
      </c>
      <c r="I1684">
        <v>1131.062387</v>
      </c>
      <c r="J1684">
        <v>0</v>
      </c>
      <c r="K1684" t="s">
        <v>1921</v>
      </c>
      <c r="L1684">
        <v>2.03663289617277</v>
      </c>
      <c r="M1684">
        <v>56.41</v>
      </c>
      <c r="N1684">
        <v>10</v>
      </c>
    </row>
    <row r="1685" spans="1:14">
      <c r="A1685" s="1" t="s">
        <v>1697</v>
      </c>
      <c r="B1685">
        <f>HYPERLINK("https://www.suredividend.com/sure-analysis-research-database/","Taylor Morrison Home Corp.")</f>
        <v>0</v>
      </c>
      <c r="C1685" t="s">
        <v>1927</v>
      </c>
      <c r="D1685">
        <v>25.8</v>
      </c>
      <c r="E1685">
        <v>0</v>
      </c>
      <c r="H1685">
        <v>0</v>
      </c>
      <c r="I1685">
        <v>2932.406715</v>
      </c>
      <c r="J1685">
        <v>3.227574894226832</v>
      </c>
      <c r="K1685">
        <v>0</v>
      </c>
      <c r="L1685">
        <v>1.413359361808662</v>
      </c>
      <c r="M1685">
        <v>35.51</v>
      </c>
      <c r="N1685">
        <v>20.05</v>
      </c>
    </row>
    <row r="1686" spans="1:14">
      <c r="A1686" s="1" t="s">
        <v>1698</v>
      </c>
      <c r="B1686">
        <f>HYPERLINK("https://www.suredividend.com/sure-analysis-TMP/","Tompkins Financial Corp")</f>
        <v>0</v>
      </c>
      <c r="C1686" t="s">
        <v>1923</v>
      </c>
      <c r="D1686">
        <v>74.23</v>
      </c>
      <c r="E1686">
        <v>0.03071534420045803</v>
      </c>
      <c r="F1686">
        <v>0.05555555555555558</v>
      </c>
      <c r="G1686">
        <v>0.03933463380769542</v>
      </c>
      <c r="H1686">
        <v>2.254646191808939</v>
      </c>
      <c r="I1686">
        <v>1075.637386</v>
      </c>
      <c r="J1686">
        <v>12.72326310855088</v>
      </c>
      <c r="K1686">
        <v>0.3867317653188575</v>
      </c>
      <c r="L1686">
        <v>0.603190986870298</v>
      </c>
      <c r="M1686">
        <v>84.51000000000001</v>
      </c>
      <c r="N1686">
        <v>67.98999999999999</v>
      </c>
    </row>
    <row r="1687" spans="1:14">
      <c r="A1687" s="1" t="s">
        <v>1699</v>
      </c>
      <c r="B1687">
        <f>HYPERLINK("https://www.suredividend.com/sure-analysis-research-database/","TimkenSteel Corp")</f>
        <v>0</v>
      </c>
      <c r="C1687" t="s">
        <v>1925</v>
      </c>
      <c r="D1687">
        <v>16.73</v>
      </c>
      <c r="E1687">
        <v>0</v>
      </c>
      <c r="H1687">
        <v>0</v>
      </c>
      <c r="I1687">
        <v>773.3417909999999</v>
      </c>
      <c r="J1687">
        <v>3.534468878839122</v>
      </c>
      <c r="K1687">
        <v>0</v>
      </c>
      <c r="L1687">
        <v>1.444527613598574</v>
      </c>
      <c r="M1687">
        <v>26.23</v>
      </c>
      <c r="N1687">
        <v>12.46</v>
      </c>
    </row>
    <row r="1688" spans="1:14">
      <c r="A1688" s="1" t="s">
        <v>1700</v>
      </c>
      <c r="B1688">
        <f>HYPERLINK("https://www.suredividend.com/sure-analysis-TNC/","Tennant Co.")</f>
        <v>0</v>
      </c>
      <c r="C1688" t="s">
        <v>1924</v>
      </c>
      <c r="D1688">
        <v>57.27</v>
      </c>
      <c r="E1688">
        <v>0.01746114894360049</v>
      </c>
      <c r="F1688">
        <v>0.08695652173913038</v>
      </c>
      <c r="G1688">
        <v>0.03548578845590522</v>
      </c>
      <c r="H1688">
        <v>0.9941912447540281</v>
      </c>
      <c r="I1688">
        <v>1064.066062</v>
      </c>
      <c r="J1688">
        <v>18.89993005896981</v>
      </c>
      <c r="K1688">
        <v>0.331397081584676</v>
      </c>
      <c r="L1688">
        <v>0.8519820883567271</v>
      </c>
      <c r="M1688">
        <v>84.65000000000001</v>
      </c>
      <c r="N1688">
        <v>54.68</v>
      </c>
    </row>
    <row r="1689" spans="1:14">
      <c r="A1689" s="1" t="s">
        <v>1701</v>
      </c>
      <c r="B1689">
        <f>HYPERLINK("https://www.suredividend.com/sure-analysis-research-database/","TriNet Group Inc")</f>
        <v>0</v>
      </c>
      <c r="C1689" t="s">
        <v>1924</v>
      </c>
      <c r="D1689">
        <v>71.14</v>
      </c>
      <c r="E1689">
        <v>0</v>
      </c>
      <c r="H1689">
        <v>0</v>
      </c>
      <c r="I1689">
        <v>4419.287086</v>
      </c>
      <c r="J1689">
        <v>11.72224691331565</v>
      </c>
      <c r="K1689">
        <v>0</v>
      </c>
      <c r="L1689">
        <v>0.9463541936600761</v>
      </c>
      <c r="M1689">
        <v>109.4</v>
      </c>
      <c r="N1689">
        <v>69.16</v>
      </c>
    </row>
    <row r="1690" spans="1:14">
      <c r="A1690" s="1" t="s">
        <v>1702</v>
      </c>
      <c r="B1690">
        <f>HYPERLINK("https://www.suredividend.com/sure-analysis-research-database/","Teekay Tankers Ltd")</f>
        <v>0</v>
      </c>
      <c r="C1690" t="s">
        <v>1926</v>
      </c>
      <c r="D1690">
        <v>26.84</v>
      </c>
      <c r="E1690">
        <v>0</v>
      </c>
      <c r="H1690">
        <v>0</v>
      </c>
      <c r="I1690">
        <v>781.369999</v>
      </c>
      <c r="J1690" t="s">
        <v>1921</v>
      </c>
      <c r="K1690">
        <v>-0</v>
      </c>
      <c r="L1690">
        <v>0.5842467904223021</v>
      </c>
      <c r="M1690">
        <v>31.98</v>
      </c>
      <c r="N1690">
        <v>9.890000000000001</v>
      </c>
    </row>
    <row r="1691" spans="1:14">
      <c r="A1691" s="1" t="s">
        <v>1703</v>
      </c>
      <c r="B1691">
        <f>HYPERLINK("https://www.suredividend.com/sure-analysis-research-database/","Tonix Pharmaceuticals Holding Corp")</f>
        <v>0</v>
      </c>
      <c r="C1691" t="s">
        <v>1922</v>
      </c>
      <c r="D1691">
        <v>0.5025000000000001</v>
      </c>
      <c r="E1691">
        <v>0</v>
      </c>
      <c r="H1691">
        <v>0</v>
      </c>
      <c r="I1691">
        <v>22.509922</v>
      </c>
      <c r="J1691">
        <v>0</v>
      </c>
      <c r="K1691" t="s">
        <v>1921</v>
      </c>
      <c r="L1691">
        <v>1.355781471296939</v>
      </c>
      <c r="M1691">
        <v>20</v>
      </c>
      <c r="N1691">
        <v>0.485</v>
      </c>
    </row>
    <row r="1692" spans="1:14">
      <c r="A1692" s="1" t="s">
        <v>1704</v>
      </c>
      <c r="B1692">
        <f>HYPERLINK("https://www.suredividend.com/sure-analysis-research-database/","Tenaya Therapeutics Inc")</f>
        <v>0</v>
      </c>
      <c r="C1692" t="s">
        <v>1921</v>
      </c>
      <c r="D1692">
        <v>2.65</v>
      </c>
      <c r="E1692">
        <v>0</v>
      </c>
      <c r="H1692">
        <v>0</v>
      </c>
      <c r="I1692">
        <v>109.61633</v>
      </c>
      <c r="J1692">
        <v>0</v>
      </c>
      <c r="K1692" t="s">
        <v>1921</v>
      </c>
      <c r="L1692">
        <v>1.815673350000547</v>
      </c>
      <c r="M1692">
        <v>32</v>
      </c>
      <c r="N1692">
        <v>2.62</v>
      </c>
    </row>
    <row r="1693" spans="1:14">
      <c r="A1693" s="1" t="s">
        <v>1705</v>
      </c>
      <c r="B1693">
        <f>HYPERLINK("https://www.suredividend.com/sure-analysis-research-database/","Townebank Portsmouth VA")</f>
        <v>0</v>
      </c>
      <c r="C1693" t="s">
        <v>1923</v>
      </c>
      <c r="D1693">
        <v>27.47</v>
      </c>
      <c r="E1693">
        <v>0.030950006627959</v>
      </c>
      <c r="F1693">
        <v>0.1499999999999999</v>
      </c>
      <c r="G1693">
        <v>0.1043836287043816</v>
      </c>
      <c r="H1693">
        <v>0.8501966820700371</v>
      </c>
      <c r="I1693">
        <v>1419.612982</v>
      </c>
      <c r="J1693">
        <v>0</v>
      </c>
      <c r="K1693" t="s">
        <v>1921</v>
      </c>
      <c r="L1693">
        <v>0.6318130950166131</v>
      </c>
      <c r="M1693">
        <v>33.99</v>
      </c>
      <c r="N1693">
        <v>25.96</v>
      </c>
    </row>
    <row r="1694" spans="1:14">
      <c r="A1694" s="1" t="s">
        <v>1706</v>
      </c>
      <c r="B1694">
        <f>HYPERLINK("https://www.suredividend.com/sure-analysis-research-database/","Turning Point Brands Inc")</f>
        <v>0</v>
      </c>
      <c r="C1694" t="s">
        <v>1928</v>
      </c>
      <c r="D1694">
        <v>19.99</v>
      </c>
      <c r="E1694">
        <v>0.011715022102486</v>
      </c>
      <c r="F1694">
        <v>0.09090909090909083</v>
      </c>
      <c r="G1694">
        <v>0.08447177119769855</v>
      </c>
      <c r="H1694">
        <v>0.234183291828699</v>
      </c>
      <c r="I1694">
        <v>356.569666</v>
      </c>
      <c r="J1694">
        <v>0</v>
      </c>
      <c r="K1694" t="s">
        <v>1921</v>
      </c>
      <c r="L1694">
        <v>0.503826137813791</v>
      </c>
      <c r="M1694">
        <v>48.66</v>
      </c>
      <c r="N1694">
        <v>18.81</v>
      </c>
    </row>
    <row r="1695" spans="1:14">
      <c r="A1695" s="1" t="s">
        <v>1707</v>
      </c>
      <c r="B1695">
        <f>HYPERLINK("https://www.suredividend.com/sure-analysis-research-database/","Tutor Perini Corp")</f>
        <v>0</v>
      </c>
      <c r="C1695" t="s">
        <v>1924</v>
      </c>
      <c r="D1695">
        <v>5.95</v>
      </c>
      <c r="E1695">
        <v>0</v>
      </c>
      <c r="H1695">
        <v>0</v>
      </c>
      <c r="I1695">
        <v>305.578261</v>
      </c>
      <c r="J1695" t="s">
        <v>1921</v>
      </c>
      <c r="K1695">
        <v>-0</v>
      </c>
      <c r="L1695">
        <v>0.865283919609061</v>
      </c>
      <c r="M1695">
        <v>15.67</v>
      </c>
      <c r="N1695">
        <v>5.4</v>
      </c>
    </row>
    <row r="1696" spans="1:14">
      <c r="A1696" s="1" t="s">
        <v>1708</v>
      </c>
      <c r="B1696">
        <f>HYPERLINK("https://www.suredividend.com/sure-analysis-research-database/","Tri Pointe Homes Inc.")</f>
        <v>0</v>
      </c>
      <c r="C1696" t="s">
        <v>1927</v>
      </c>
      <c r="D1696">
        <v>16.03</v>
      </c>
      <c r="E1696">
        <v>0</v>
      </c>
      <c r="H1696">
        <v>0</v>
      </c>
      <c r="I1696">
        <v>1629.257461</v>
      </c>
      <c r="J1696">
        <v>3.229725151202184</v>
      </c>
      <c r="K1696">
        <v>0</v>
      </c>
      <c r="L1696">
        <v>1.288250182984162</v>
      </c>
      <c r="M1696">
        <v>28.29</v>
      </c>
      <c r="N1696">
        <v>14.87</v>
      </c>
    </row>
    <row r="1697" spans="1:14">
      <c r="A1697" s="1" t="s">
        <v>1709</v>
      </c>
      <c r="B1697">
        <f>HYPERLINK("https://www.suredividend.com/sure-analysis-research-database/","TPI Composites Inc")</f>
        <v>0</v>
      </c>
      <c r="C1697" t="s">
        <v>1924</v>
      </c>
      <c r="D1697">
        <v>10.28</v>
      </c>
      <c r="E1697">
        <v>0</v>
      </c>
      <c r="H1697">
        <v>0</v>
      </c>
      <c r="I1697">
        <v>383.310679</v>
      </c>
      <c r="J1697" t="s">
        <v>1921</v>
      </c>
      <c r="K1697">
        <v>-0</v>
      </c>
      <c r="L1697">
        <v>1.475679946919349</v>
      </c>
      <c r="M1697">
        <v>36.66</v>
      </c>
      <c r="N1697">
        <v>9.23</v>
      </c>
    </row>
    <row r="1698" spans="1:14">
      <c r="A1698" s="1" t="s">
        <v>1710</v>
      </c>
      <c r="B1698">
        <f>HYPERLINK("https://www.suredividend.com/sure-analysis-research-database/","Turning Point Therapeutics Inc")</f>
        <v>0</v>
      </c>
      <c r="C1698" t="s">
        <v>1922</v>
      </c>
      <c r="D1698">
        <v>76.01000000000001</v>
      </c>
      <c r="E1698">
        <v>0</v>
      </c>
      <c r="H1698">
        <v>0</v>
      </c>
      <c r="I1698">
        <v>0</v>
      </c>
      <c r="J1698">
        <v>0</v>
      </c>
      <c r="K1698" t="s">
        <v>1921</v>
      </c>
    </row>
    <row r="1699" spans="1:14">
      <c r="A1699" s="1" t="s">
        <v>1711</v>
      </c>
      <c r="B1699">
        <f>HYPERLINK("https://www.suredividend.com/sure-analysis-TR/","Tootsie Roll Industries, Inc.")</f>
        <v>0</v>
      </c>
      <c r="C1699" t="s">
        <v>1928</v>
      </c>
      <c r="D1699">
        <v>34.88</v>
      </c>
      <c r="E1699">
        <v>0.01032110091743119</v>
      </c>
      <c r="F1699">
        <v>0</v>
      </c>
      <c r="G1699">
        <v>0</v>
      </c>
      <c r="H1699">
        <v>0.355945927157731</v>
      </c>
      <c r="I1699">
        <v>1408.407207</v>
      </c>
      <c r="J1699">
        <v>20.47668989052209</v>
      </c>
      <c r="K1699">
        <v>0.3574831045071116</v>
      </c>
      <c r="L1699">
        <v>0.447450630735826</v>
      </c>
      <c r="M1699">
        <v>37.88</v>
      </c>
      <c r="N1699">
        <v>29.72</v>
      </c>
    </row>
    <row r="1700" spans="1:14">
      <c r="A1700" s="1" t="s">
        <v>1712</v>
      </c>
      <c r="B1700">
        <f>HYPERLINK("https://www.suredividend.com/sure-analysis-research-database/","Tejon Ranch Co.")</f>
        <v>0</v>
      </c>
      <c r="C1700" t="s">
        <v>1924</v>
      </c>
      <c r="D1700">
        <v>14.56</v>
      </c>
      <c r="E1700">
        <v>0</v>
      </c>
      <c r="H1700">
        <v>0</v>
      </c>
      <c r="I1700">
        <v>385.720171</v>
      </c>
      <c r="J1700">
        <v>53.41644802658912</v>
      </c>
      <c r="K1700">
        <v>0</v>
      </c>
      <c r="L1700">
        <v>0.6402370041034341</v>
      </c>
      <c r="M1700">
        <v>21.69</v>
      </c>
      <c r="N1700">
        <v>14.38</v>
      </c>
    </row>
    <row r="1701" spans="1:14">
      <c r="A1701" s="1" t="s">
        <v>1713</v>
      </c>
      <c r="B1701">
        <f>HYPERLINK("https://www.suredividend.com/sure-analysis-research-database/","Entrada Therapeutics Inc")</f>
        <v>0</v>
      </c>
      <c r="C1701" t="s">
        <v>1921</v>
      </c>
      <c r="D1701">
        <v>14.65</v>
      </c>
      <c r="E1701">
        <v>0</v>
      </c>
      <c r="H1701">
        <v>0</v>
      </c>
      <c r="I1701">
        <v>459.548086</v>
      </c>
      <c r="J1701">
        <v>0</v>
      </c>
      <c r="K1701" t="s">
        <v>1921</v>
      </c>
      <c r="M1701">
        <v>36.85</v>
      </c>
      <c r="N1701">
        <v>5.12</v>
      </c>
    </row>
    <row r="1702" spans="1:14">
      <c r="A1702" s="1" t="s">
        <v>1714</v>
      </c>
      <c r="B1702">
        <f>HYPERLINK("https://www.suredividend.com/sure-analysis-research-database/","LendingTree Inc.")</f>
        <v>0</v>
      </c>
      <c r="C1702" t="s">
        <v>1923</v>
      </c>
      <c r="D1702">
        <v>24.37</v>
      </c>
      <c r="E1702">
        <v>0</v>
      </c>
      <c r="H1702">
        <v>0</v>
      </c>
      <c r="I1702">
        <v>311.594601</v>
      </c>
      <c r="J1702">
        <v>12.66593230641031</v>
      </c>
      <c r="K1702">
        <v>0</v>
      </c>
      <c r="L1702">
        <v>1.895517468125986</v>
      </c>
      <c r="M1702">
        <v>164.69</v>
      </c>
      <c r="N1702">
        <v>22.5</v>
      </c>
    </row>
    <row r="1703" spans="1:14">
      <c r="A1703" s="1" t="s">
        <v>1715</v>
      </c>
      <c r="B1703">
        <f>HYPERLINK("https://www.suredividend.com/sure-analysis-research-database/","Tabula Rasa HealthCare Inc")</f>
        <v>0</v>
      </c>
      <c r="C1703" t="s">
        <v>1922</v>
      </c>
      <c r="D1703">
        <v>4.47</v>
      </c>
      <c r="E1703">
        <v>0</v>
      </c>
      <c r="H1703">
        <v>0</v>
      </c>
      <c r="I1703">
        <v>117.342126</v>
      </c>
      <c r="J1703">
        <v>0</v>
      </c>
      <c r="K1703" t="s">
        <v>1921</v>
      </c>
      <c r="L1703">
        <v>1.617104895667991</v>
      </c>
      <c r="M1703">
        <v>31.63</v>
      </c>
      <c r="N1703">
        <v>2.09</v>
      </c>
    </row>
    <row r="1704" spans="1:14">
      <c r="A1704" s="1" t="s">
        <v>1716</v>
      </c>
      <c r="B1704">
        <f>HYPERLINK("https://www.suredividend.com/sure-analysis-research-database/","Trustmark Corp.")</f>
        <v>0</v>
      </c>
      <c r="C1704" t="s">
        <v>1923</v>
      </c>
      <c r="D1704">
        <v>31.86</v>
      </c>
      <c r="E1704">
        <v>0.028669123945281</v>
      </c>
      <c r="F1704">
        <v>0</v>
      </c>
      <c r="G1704">
        <v>0</v>
      </c>
      <c r="H1704">
        <v>0.9133982888966761</v>
      </c>
      <c r="I1704">
        <v>1949.867779</v>
      </c>
      <c r="J1704">
        <v>17.57952143296339</v>
      </c>
      <c r="K1704">
        <v>0.5102783736852938</v>
      </c>
      <c r="L1704">
        <v>0.638121978631715</v>
      </c>
      <c r="M1704">
        <v>34.79</v>
      </c>
      <c r="N1704">
        <v>26.48</v>
      </c>
    </row>
    <row r="1705" spans="1:14">
      <c r="A1705" s="1" t="s">
        <v>1717</v>
      </c>
      <c r="B1705">
        <f>HYPERLINK("https://www.suredividend.com/sure-analysis-TRN/","Trinity Industries, Inc.")</f>
        <v>0</v>
      </c>
      <c r="C1705" t="s">
        <v>1924</v>
      </c>
      <c r="D1705">
        <v>23.31</v>
      </c>
      <c r="E1705">
        <v>0.03946803946803947</v>
      </c>
      <c r="F1705">
        <v>0.09523809523809534</v>
      </c>
      <c r="G1705">
        <v>0.1208742617958329</v>
      </c>
      <c r="H1705">
        <v>0.888212933275294</v>
      </c>
      <c r="I1705">
        <v>1911.61683</v>
      </c>
      <c r="J1705">
        <v>11.31134218721894</v>
      </c>
      <c r="K1705">
        <v>0.482724420258312</v>
      </c>
      <c r="L1705">
        <v>0.9969309636383261</v>
      </c>
      <c r="M1705">
        <v>34.72</v>
      </c>
      <c r="N1705">
        <v>20.94</v>
      </c>
    </row>
    <row r="1706" spans="1:14">
      <c r="A1706" s="1" t="s">
        <v>1718</v>
      </c>
      <c r="B1706">
        <f>HYPERLINK("https://www.suredividend.com/sure-analysis-research-database/","Terreno Realty Corp")</f>
        <v>0</v>
      </c>
      <c r="C1706" t="s">
        <v>1929</v>
      </c>
      <c r="D1706">
        <v>51.04</v>
      </c>
      <c r="E1706">
        <v>0.027563510183978</v>
      </c>
      <c r="F1706">
        <v>0.1764705882352942</v>
      </c>
      <c r="G1706">
        <v>0.1270092020979254</v>
      </c>
      <c r="H1706">
        <v>1.406841559790242</v>
      </c>
      <c r="I1706">
        <v>3855.917247</v>
      </c>
      <c r="J1706">
        <v>22.72946432953715</v>
      </c>
      <c r="K1706">
        <v>0.6116702433870619</v>
      </c>
      <c r="L1706">
        <v>0.819281019644394</v>
      </c>
      <c r="M1706">
        <v>84.45</v>
      </c>
      <c r="N1706">
        <v>50.88</v>
      </c>
    </row>
    <row r="1707" spans="1:14">
      <c r="A1707" s="1" t="s">
        <v>1719</v>
      </c>
      <c r="B1707">
        <f>HYPERLINK("https://www.suredividend.com/sure-analysis-research-database/","Transcat Inc")</f>
        <v>0</v>
      </c>
      <c r="C1707" t="s">
        <v>1924</v>
      </c>
      <c r="D1707">
        <v>73.01000000000001</v>
      </c>
      <c r="E1707">
        <v>0</v>
      </c>
      <c r="H1707">
        <v>0</v>
      </c>
      <c r="I1707">
        <v>551.048013</v>
      </c>
      <c r="J1707">
        <v>0</v>
      </c>
      <c r="K1707" t="s">
        <v>1921</v>
      </c>
      <c r="L1707">
        <v>0.8813525450728411</v>
      </c>
      <c r="M1707">
        <v>101.05</v>
      </c>
      <c r="N1707">
        <v>50.32</v>
      </c>
    </row>
    <row r="1708" spans="1:14">
      <c r="A1708" s="1" t="s">
        <v>1720</v>
      </c>
      <c r="B1708">
        <f>HYPERLINK("https://www.suredividend.com/sure-analysis-research-database/","Tronox Holdings plc")</f>
        <v>0</v>
      </c>
      <c r="C1708" t="s">
        <v>1925</v>
      </c>
      <c r="D1708">
        <v>12.32</v>
      </c>
      <c r="E1708">
        <v>0.03815342942472801</v>
      </c>
      <c r="F1708">
        <v>0.25</v>
      </c>
      <c r="G1708">
        <v>0.2267032046963888</v>
      </c>
      <c r="H1708">
        <v>0.470050250512656</v>
      </c>
      <c r="I1708">
        <v>1902.618318</v>
      </c>
      <c r="J1708">
        <v>0</v>
      </c>
      <c r="K1708" t="s">
        <v>1921</v>
      </c>
      <c r="L1708">
        <v>1.229805225008653</v>
      </c>
      <c r="M1708">
        <v>25.67</v>
      </c>
      <c r="N1708">
        <v>11.14</v>
      </c>
    </row>
    <row r="1709" spans="1:14">
      <c r="A1709" s="1" t="s">
        <v>1721</v>
      </c>
      <c r="B1709">
        <f>HYPERLINK("https://www.suredividend.com/sure-analysis-research-database/","Trimas Corporation")</f>
        <v>0</v>
      </c>
      <c r="C1709" t="s">
        <v>1924</v>
      </c>
      <c r="D1709">
        <v>26.22</v>
      </c>
      <c r="E1709">
        <v>0.006089767970862</v>
      </c>
      <c r="H1709">
        <v>0.159673716196002</v>
      </c>
      <c r="I1709">
        <v>1101.300149</v>
      </c>
      <c r="J1709">
        <v>16.57586015472607</v>
      </c>
      <c r="K1709">
        <v>0.1030153007716142</v>
      </c>
      <c r="L1709">
        <v>0.8515008209538411</v>
      </c>
      <c r="M1709">
        <v>38.56</v>
      </c>
      <c r="N1709">
        <v>23.82</v>
      </c>
    </row>
    <row r="1710" spans="1:14">
      <c r="A1710" s="1" t="s">
        <v>1722</v>
      </c>
      <c r="B1710">
        <f>HYPERLINK("https://www.suredividend.com/sure-analysis-TRST/","Trustco Bank Corp.")</f>
        <v>0</v>
      </c>
      <c r="C1710" t="s">
        <v>1923</v>
      </c>
      <c r="D1710">
        <v>31.95</v>
      </c>
      <c r="E1710">
        <v>0.04381846635367762</v>
      </c>
      <c r="F1710">
        <v>0.02752293577981657</v>
      </c>
      <c r="G1710">
        <v>0.3976542375431587</v>
      </c>
      <c r="H1710">
        <v>1.377936137304786</v>
      </c>
      <c r="I1710">
        <v>611.103656</v>
      </c>
      <c r="J1710">
        <v>8.991711022909524</v>
      </c>
      <c r="K1710">
        <v>0.3892474964137814</v>
      </c>
      <c r="L1710">
        <v>0.385749087838868</v>
      </c>
      <c r="M1710">
        <v>35.94</v>
      </c>
      <c r="N1710">
        <v>29.19</v>
      </c>
    </row>
    <row r="1711" spans="1:14">
      <c r="A1711" s="1" t="s">
        <v>1723</v>
      </c>
      <c r="B1711">
        <f>HYPERLINK("https://www.suredividend.com/sure-analysis-TRTN/","Triton International Ltd")</f>
        <v>0</v>
      </c>
      <c r="C1711" t="s">
        <v>1924</v>
      </c>
      <c r="D1711">
        <v>54.7</v>
      </c>
      <c r="E1711">
        <v>0.04753199268738574</v>
      </c>
      <c r="F1711">
        <v>0.1403508771929824</v>
      </c>
      <c r="G1711">
        <v>0.07631692251481081</v>
      </c>
      <c r="H1711">
        <v>2.559730039762696</v>
      </c>
      <c r="I1711">
        <v>3392.532071</v>
      </c>
      <c r="J1711">
        <v>5.091659619506163</v>
      </c>
      <c r="K1711">
        <v>0.2521901517007583</v>
      </c>
      <c r="L1711">
        <v>1.047978790062921</v>
      </c>
      <c r="M1711">
        <v>70.84</v>
      </c>
      <c r="N1711">
        <v>48.11</v>
      </c>
    </row>
    <row r="1712" spans="1:14">
      <c r="A1712" s="1" t="s">
        <v>1724</v>
      </c>
      <c r="B1712">
        <f>HYPERLINK("https://www.suredividend.com/sure-analysis-research-database/","TPG RE Finance Trust Inc")</f>
        <v>0</v>
      </c>
      <c r="C1712" t="s">
        <v>1929</v>
      </c>
      <c r="D1712">
        <v>6.9</v>
      </c>
      <c r="E1712">
        <v>0.13375868699067</v>
      </c>
      <c r="F1712">
        <v>0</v>
      </c>
      <c r="G1712">
        <v>-0.1100849382703697</v>
      </c>
      <c r="H1712">
        <v>0.9229349402356241</v>
      </c>
      <c r="I1712">
        <v>532.582331</v>
      </c>
      <c r="J1712">
        <v>6.729792647021659</v>
      </c>
      <c r="K1712">
        <v>0.9567066862606241</v>
      </c>
      <c r="L1712">
        <v>0.798228795259854</v>
      </c>
      <c r="M1712">
        <v>12.41</v>
      </c>
      <c r="N1712">
        <v>6.68</v>
      </c>
    </row>
    <row r="1713" spans="1:14">
      <c r="A1713" s="1" t="s">
        <v>1725</v>
      </c>
      <c r="B1713">
        <f>HYPERLINK("https://www.suredividend.com/sure-analysis-research-database/","Trupanion Inc")</f>
        <v>0</v>
      </c>
      <c r="C1713" t="s">
        <v>1923</v>
      </c>
      <c r="D1713">
        <v>51.86</v>
      </c>
      <c r="E1713">
        <v>0</v>
      </c>
      <c r="H1713">
        <v>0</v>
      </c>
      <c r="I1713">
        <v>2113.096584</v>
      </c>
      <c r="J1713" t="s">
        <v>1921</v>
      </c>
      <c r="K1713">
        <v>-0</v>
      </c>
      <c r="L1713">
        <v>2.144908611786093</v>
      </c>
      <c r="M1713">
        <v>158.25</v>
      </c>
      <c r="N1713">
        <v>50.74</v>
      </c>
    </row>
    <row r="1714" spans="1:14">
      <c r="A1714" s="1" t="s">
        <v>1726</v>
      </c>
      <c r="B1714">
        <f>HYPERLINK("https://www.suredividend.com/sure-analysis-research-database/","Trevena Inc")</f>
        <v>0</v>
      </c>
      <c r="C1714" t="s">
        <v>1922</v>
      </c>
      <c r="D1714">
        <v>0.1773</v>
      </c>
      <c r="E1714">
        <v>0</v>
      </c>
      <c r="H1714">
        <v>0</v>
      </c>
      <c r="I1714">
        <v>30.793656</v>
      </c>
      <c r="J1714">
        <v>0</v>
      </c>
      <c r="K1714" t="s">
        <v>1921</v>
      </c>
      <c r="L1714">
        <v>1.086611099976214</v>
      </c>
      <c r="M1714">
        <v>1.2</v>
      </c>
      <c r="N1714">
        <v>0.15</v>
      </c>
    </row>
    <row r="1715" spans="1:14">
      <c r="A1715" s="1" t="s">
        <v>1727</v>
      </c>
      <c r="B1715">
        <f>HYPERLINK("https://www.suredividend.com/sure-analysis-research-database/","Telesat Corp")</f>
        <v>0</v>
      </c>
      <c r="C1715" t="s">
        <v>1921</v>
      </c>
      <c r="D1715">
        <v>7.16</v>
      </c>
      <c r="E1715">
        <v>0</v>
      </c>
      <c r="H1715">
        <v>0</v>
      </c>
      <c r="I1715">
        <v>89.252336</v>
      </c>
      <c r="J1715">
        <v>0</v>
      </c>
      <c r="K1715" t="s">
        <v>1921</v>
      </c>
      <c r="M1715">
        <v>48.35</v>
      </c>
      <c r="N1715">
        <v>7.14</v>
      </c>
    </row>
    <row r="1716" spans="1:14">
      <c r="A1716" s="1" t="s">
        <v>1728</v>
      </c>
      <c r="B1716">
        <f>HYPERLINK("https://www.suredividend.com/sure-analysis-research-database/","Tristate Capital Holdings Inc")</f>
        <v>0</v>
      </c>
      <c r="C1716" t="s">
        <v>1923</v>
      </c>
      <c r="D1716">
        <v>30.58</v>
      </c>
      <c r="E1716">
        <v>0</v>
      </c>
      <c r="H1716">
        <v>0</v>
      </c>
      <c r="I1716">
        <v>0</v>
      </c>
      <c r="J1716">
        <v>0</v>
      </c>
      <c r="K1716">
        <v>0</v>
      </c>
    </row>
    <row r="1717" spans="1:14">
      <c r="A1717" s="1" t="s">
        <v>1729</v>
      </c>
      <c r="B1717">
        <f>HYPERLINK("https://www.suredividend.com/sure-analysis-research-database/","Trinseo PLC")</f>
        <v>0</v>
      </c>
      <c r="C1717" t="s">
        <v>1925</v>
      </c>
      <c r="D1717">
        <v>18.63</v>
      </c>
      <c r="E1717">
        <v>0.067478944657825</v>
      </c>
      <c r="F1717">
        <v>0</v>
      </c>
      <c r="G1717">
        <v>-0.02328131613882611</v>
      </c>
      <c r="H1717">
        <v>1.25713273897529</v>
      </c>
      <c r="I1717">
        <v>651.540395</v>
      </c>
      <c r="J1717">
        <v>2.404208099557195</v>
      </c>
      <c r="K1717">
        <v>0.1790787377457678</v>
      </c>
      <c r="L1717">
        <v>1.380543630707022</v>
      </c>
      <c r="M1717">
        <v>59.38</v>
      </c>
      <c r="N1717">
        <v>17.59</v>
      </c>
    </row>
    <row r="1718" spans="1:14">
      <c r="A1718" s="1" t="s">
        <v>1730</v>
      </c>
      <c r="B1718">
        <f>HYPERLINK("https://www.suredividend.com/sure-analysis-research-database/","Taysha Gene Therapies Inc")</f>
        <v>0</v>
      </c>
      <c r="C1718" t="s">
        <v>1921</v>
      </c>
      <c r="D1718">
        <v>1.81</v>
      </c>
      <c r="E1718">
        <v>0</v>
      </c>
      <c r="H1718">
        <v>0</v>
      </c>
      <c r="I1718">
        <v>74.378618</v>
      </c>
      <c r="J1718">
        <v>0</v>
      </c>
      <c r="K1718" t="s">
        <v>1921</v>
      </c>
      <c r="L1718">
        <v>1.865126317908598</v>
      </c>
      <c r="M1718">
        <v>19.11</v>
      </c>
      <c r="N1718">
        <v>1.68</v>
      </c>
    </row>
    <row r="1719" spans="1:14">
      <c r="A1719" s="1" t="s">
        <v>1731</v>
      </c>
      <c r="B1719">
        <f>HYPERLINK("https://www.suredividend.com/sure-analysis-research-database/","2seventy bio Inc")</f>
        <v>0</v>
      </c>
      <c r="C1719" t="s">
        <v>1921</v>
      </c>
      <c r="D1719">
        <v>13.65</v>
      </c>
      <c r="E1719">
        <v>0</v>
      </c>
      <c r="H1719">
        <v>0</v>
      </c>
      <c r="I1719">
        <v>516.974681</v>
      </c>
      <c r="J1719">
        <v>0</v>
      </c>
      <c r="K1719" t="s">
        <v>1921</v>
      </c>
      <c r="M1719">
        <v>44.34</v>
      </c>
      <c r="N1719">
        <v>9.91</v>
      </c>
    </row>
    <row r="1720" spans="1:14">
      <c r="A1720" s="1" t="s">
        <v>1732</v>
      </c>
      <c r="B1720">
        <f>HYPERLINK("https://www.suredividend.com/sure-analysis-research-database/","Tattooed Chef Inc")</f>
        <v>0</v>
      </c>
      <c r="C1720" t="s">
        <v>1921</v>
      </c>
      <c r="D1720">
        <v>4.59</v>
      </c>
      <c r="E1720">
        <v>0</v>
      </c>
      <c r="H1720">
        <v>0</v>
      </c>
      <c r="I1720">
        <v>378.490496</v>
      </c>
      <c r="J1720" t="s">
        <v>1921</v>
      </c>
      <c r="K1720">
        <v>-0</v>
      </c>
      <c r="L1720">
        <v>1.575442273541619</v>
      </c>
      <c r="M1720">
        <v>19.02</v>
      </c>
      <c r="N1720">
        <v>4.23</v>
      </c>
    </row>
    <row r="1721" spans="1:14">
      <c r="A1721" s="1" t="s">
        <v>1733</v>
      </c>
      <c r="B1721">
        <f>HYPERLINK("https://www.suredividend.com/sure-analysis-research-database/","TTEC Holdings Inc")</f>
        <v>0</v>
      </c>
      <c r="C1721" t="s">
        <v>1920</v>
      </c>
      <c r="D1721">
        <v>43.63</v>
      </c>
      <c r="E1721">
        <v>0.02325609906461</v>
      </c>
      <c r="H1721">
        <v>1.014663602188972</v>
      </c>
      <c r="I1721">
        <v>2059.737963</v>
      </c>
      <c r="J1721">
        <v>20.22900937124955</v>
      </c>
      <c r="K1721">
        <v>0.4719365591576614</v>
      </c>
      <c r="L1721">
        <v>1.172753012906777</v>
      </c>
      <c r="M1721">
        <v>101.93</v>
      </c>
      <c r="N1721">
        <v>42.82</v>
      </c>
    </row>
    <row r="1722" spans="1:14">
      <c r="A1722" s="1" t="s">
        <v>1734</v>
      </c>
      <c r="B1722">
        <f>HYPERLINK("https://www.suredividend.com/sure-analysis-research-database/","Tetra Tech, Inc.")</f>
        <v>0</v>
      </c>
      <c r="C1722" t="s">
        <v>1924</v>
      </c>
      <c r="D1722">
        <v>126.95</v>
      </c>
      <c r="E1722">
        <v>0.006758606883561001</v>
      </c>
      <c r="F1722">
        <v>0.1499999999999999</v>
      </c>
      <c r="G1722">
        <v>0.1812601880431084</v>
      </c>
      <c r="H1722">
        <v>0.8580051438681251</v>
      </c>
      <c r="I1722">
        <v>6815.097855</v>
      </c>
      <c r="J1722">
        <v>25.89982197158851</v>
      </c>
      <c r="K1722">
        <v>0.1772737900553978</v>
      </c>
      <c r="L1722">
        <v>1.045556997655198</v>
      </c>
      <c r="M1722">
        <v>191.79</v>
      </c>
      <c r="N1722">
        <v>118.36</v>
      </c>
    </row>
    <row r="1723" spans="1:14">
      <c r="A1723" s="1" t="s">
        <v>1735</v>
      </c>
      <c r="B1723">
        <f>HYPERLINK("https://www.suredividend.com/sure-analysis-research-database/","Techtarget Inc.")</f>
        <v>0</v>
      </c>
      <c r="C1723" t="s">
        <v>1931</v>
      </c>
      <c r="D1723">
        <v>64.33</v>
      </c>
      <c r="E1723">
        <v>0</v>
      </c>
      <c r="H1723">
        <v>0</v>
      </c>
      <c r="I1723">
        <v>1898.208597</v>
      </c>
      <c r="J1723">
        <v>139.5946902088542</v>
      </c>
      <c r="K1723">
        <v>0</v>
      </c>
      <c r="L1723">
        <v>1.492969137931866</v>
      </c>
      <c r="M1723">
        <v>111.44</v>
      </c>
      <c r="N1723">
        <v>56.13</v>
      </c>
    </row>
    <row r="1724" spans="1:14">
      <c r="A1724" s="1" t="s">
        <v>1736</v>
      </c>
      <c r="B1724">
        <f>HYPERLINK("https://www.suredividend.com/sure-analysis-research-database/","Tetra Technologies, Inc.")</f>
        <v>0</v>
      </c>
      <c r="C1724" t="s">
        <v>1926</v>
      </c>
      <c r="D1724">
        <v>3.94</v>
      </c>
      <c r="E1724">
        <v>0</v>
      </c>
      <c r="H1724">
        <v>0</v>
      </c>
      <c r="I1724">
        <v>505.326382</v>
      </c>
      <c r="J1724">
        <v>46.62972984958937</v>
      </c>
      <c r="K1724">
        <v>0</v>
      </c>
      <c r="L1724">
        <v>1.076244129551309</v>
      </c>
      <c r="M1724">
        <v>5.82</v>
      </c>
      <c r="N1724">
        <v>2.32</v>
      </c>
    </row>
    <row r="1725" spans="1:14">
      <c r="A1725" s="1" t="s">
        <v>1737</v>
      </c>
      <c r="B1725">
        <f>HYPERLINK("https://www.suredividend.com/sure-analysis-research-database/","TTM Technologies Inc")</f>
        <v>0</v>
      </c>
      <c r="C1725" t="s">
        <v>1920</v>
      </c>
      <c r="D1725">
        <v>13.58</v>
      </c>
      <c r="E1725">
        <v>0</v>
      </c>
      <c r="H1725">
        <v>0</v>
      </c>
      <c r="I1725">
        <v>1387.798037</v>
      </c>
      <c r="J1725">
        <v>18.65746255488485</v>
      </c>
      <c r="K1725">
        <v>0</v>
      </c>
      <c r="L1725">
        <v>1.004728591714499</v>
      </c>
      <c r="M1725">
        <v>17.49</v>
      </c>
      <c r="N1725">
        <v>9.76</v>
      </c>
    </row>
    <row r="1726" spans="1:14">
      <c r="A1726" s="1" t="s">
        <v>1738</v>
      </c>
      <c r="B1726">
        <f>HYPERLINK("https://www.suredividend.com/sure-analysis-research-database/","Tupperware Brands Corporation")</f>
        <v>0</v>
      </c>
      <c r="C1726" t="s">
        <v>1927</v>
      </c>
      <c r="D1726">
        <v>6.5</v>
      </c>
      <c r="E1726">
        <v>0</v>
      </c>
      <c r="H1726">
        <v>0</v>
      </c>
      <c r="I1726">
        <v>288.998502</v>
      </c>
      <c r="J1726" t="s">
        <v>1921</v>
      </c>
      <c r="K1726">
        <v>-0</v>
      </c>
      <c r="L1726">
        <v>1.652251562479323</v>
      </c>
      <c r="M1726">
        <v>24.71</v>
      </c>
      <c r="N1726">
        <v>5.54</v>
      </c>
    </row>
    <row r="1727" spans="1:14">
      <c r="A1727" s="1" t="s">
        <v>1739</v>
      </c>
      <c r="B1727">
        <f>HYPERLINK("https://www.suredividend.com/sure-analysis-research-database/","Travere Therapeutics Inc")</f>
        <v>0</v>
      </c>
      <c r="C1727" t="s">
        <v>1921</v>
      </c>
      <c r="D1727">
        <v>23.47</v>
      </c>
      <c r="E1727">
        <v>0</v>
      </c>
      <c r="H1727">
        <v>0</v>
      </c>
      <c r="I1727">
        <v>1490.677147</v>
      </c>
      <c r="J1727">
        <v>0</v>
      </c>
      <c r="K1727" t="s">
        <v>1921</v>
      </c>
      <c r="L1727">
        <v>0.949639817952984</v>
      </c>
      <c r="M1727">
        <v>31.65</v>
      </c>
      <c r="N1727">
        <v>20.8</v>
      </c>
    </row>
    <row r="1728" spans="1:14">
      <c r="A1728" s="1" t="s">
        <v>1740</v>
      </c>
      <c r="B1728">
        <f>HYPERLINK("https://www.suredividend.com/sure-analysis-research-database/","Tivity Health Inc")</f>
        <v>0</v>
      </c>
      <c r="C1728" t="s">
        <v>1922</v>
      </c>
      <c r="D1728">
        <v>32.5</v>
      </c>
      <c r="E1728">
        <v>0</v>
      </c>
      <c r="H1728">
        <v>0</v>
      </c>
      <c r="I1728">
        <v>0</v>
      </c>
      <c r="J1728">
        <v>0</v>
      </c>
      <c r="K1728">
        <v>0</v>
      </c>
    </row>
    <row r="1729" spans="1:14">
      <c r="A1729" s="1" t="s">
        <v>1741</v>
      </c>
      <c r="B1729">
        <f>HYPERLINK("https://www.suredividend.com/sure-analysis-research-database/","Titan International, Inc.")</f>
        <v>0</v>
      </c>
      <c r="C1729" t="s">
        <v>1924</v>
      </c>
      <c r="D1729">
        <v>13.03</v>
      </c>
      <c r="E1729">
        <v>0</v>
      </c>
      <c r="H1729">
        <v>0</v>
      </c>
      <c r="I1729">
        <v>818.3447200000001</v>
      </c>
      <c r="J1729">
        <v>6.300872509585918</v>
      </c>
      <c r="K1729">
        <v>0</v>
      </c>
      <c r="L1729">
        <v>1.653931718809875</v>
      </c>
      <c r="M1729">
        <v>19.81</v>
      </c>
      <c r="N1729">
        <v>6.69</v>
      </c>
    </row>
    <row r="1730" spans="1:14">
      <c r="A1730" s="1" t="s">
        <v>1742</v>
      </c>
      <c r="B1730">
        <f>HYPERLINK("https://www.suredividend.com/sure-analysis-research-database/","Hostess Brands Inc")</f>
        <v>0</v>
      </c>
      <c r="C1730" t="s">
        <v>1928</v>
      </c>
      <c r="D1730">
        <v>23.87</v>
      </c>
      <c r="E1730">
        <v>0</v>
      </c>
      <c r="H1730">
        <v>0</v>
      </c>
      <c r="I1730">
        <v>3258.182483</v>
      </c>
      <c r="J1730">
        <v>25.50356531255381</v>
      </c>
      <c r="K1730">
        <v>0</v>
      </c>
      <c r="L1730">
        <v>0.5451502619369121</v>
      </c>
      <c r="M1730">
        <v>24.91</v>
      </c>
      <c r="N1730">
        <v>16.76</v>
      </c>
    </row>
    <row r="1731" spans="1:14">
      <c r="A1731" s="1" t="s">
        <v>1743</v>
      </c>
      <c r="B1731">
        <f>HYPERLINK("https://www.suredividend.com/sure-analysis-TWO/","Two Harbors Investment Corp")</f>
        <v>0</v>
      </c>
      <c r="C1731" t="s">
        <v>1929</v>
      </c>
      <c r="D1731">
        <v>3.09</v>
      </c>
      <c r="E1731">
        <v>0.2200647249190939</v>
      </c>
      <c r="F1731">
        <v>0</v>
      </c>
      <c r="G1731">
        <v>-0.1840374759897985</v>
      </c>
      <c r="H1731">
        <v>0.639178934587996</v>
      </c>
      <c r="I1731">
        <v>1064.32311</v>
      </c>
      <c r="J1731">
        <v>4.814634534696462</v>
      </c>
      <c r="K1731">
        <v>0.965818879703832</v>
      </c>
      <c r="L1731">
        <v>0.9412766882616541</v>
      </c>
      <c r="M1731">
        <v>5.89</v>
      </c>
      <c r="N1731">
        <v>3.09</v>
      </c>
    </row>
    <row r="1732" spans="1:14">
      <c r="A1732" s="1" t="s">
        <v>1744</v>
      </c>
      <c r="B1732">
        <f>HYPERLINK("https://www.suredividend.com/sure-analysis-research-database/","2U Inc")</f>
        <v>0</v>
      </c>
      <c r="C1732" t="s">
        <v>1928</v>
      </c>
      <c r="D1732">
        <v>5.24</v>
      </c>
      <c r="E1732">
        <v>0</v>
      </c>
      <c r="H1732">
        <v>0</v>
      </c>
      <c r="I1732">
        <v>404.631935</v>
      </c>
      <c r="J1732" t="s">
        <v>1921</v>
      </c>
      <c r="K1732">
        <v>-0</v>
      </c>
      <c r="L1732">
        <v>2.216043670283189</v>
      </c>
      <c r="M1732">
        <v>34.91</v>
      </c>
      <c r="N1732">
        <v>5.22</v>
      </c>
    </row>
    <row r="1733" spans="1:14">
      <c r="A1733" s="1" t="s">
        <v>1745</v>
      </c>
      <c r="B1733">
        <f>HYPERLINK("https://www.suredividend.com/sure-analysis-research-database/","Twist Bioscience Corp")</f>
        <v>0</v>
      </c>
      <c r="C1733" t="s">
        <v>1922</v>
      </c>
      <c r="D1733">
        <v>30.64</v>
      </c>
      <c r="E1733">
        <v>0</v>
      </c>
      <c r="H1733">
        <v>0</v>
      </c>
      <c r="I1733">
        <v>1726.978192</v>
      </c>
      <c r="J1733" t="s">
        <v>1921</v>
      </c>
      <c r="K1733">
        <v>-0</v>
      </c>
      <c r="L1733">
        <v>2.468818583502097</v>
      </c>
      <c r="M1733">
        <v>139.99</v>
      </c>
      <c r="N1733">
        <v>25.07</v>
      </c>
    </row>
    <row r="1734" spans="1:14">
      <c r="A1734" s="1" t="s">
        <v>1746</v>
      </c>
      <c r="B1734">
        <f>HYPERLINK("https://www.suredividend.com/sure-analysis-research-database/","TherapeuticsMD Inc")</f>
        <v>0</v>
      </c>
      <c r="C1734" t="s">
        <v>1922</v>
      </c>
      <c r="D1734">
        <v>6.22</v>
      </c>
      <c r="E1734">
        <v>0</v>
      </c>
      <c r="H1734">
        <v>0</v>
      </c>
      <c r="I1734">
        <v>58.622828</v>
      </c>
      <c r="J1734" t="s">
        <v>1921</v>
      </c>
      <c r="K1734">
        <v>-0</v>
      </c>
      <c r="L1734">
        <v>1.323304664704347</v>
      </c>
      <c r="M1734">
        <v>40.9</v>
      </c>
      <c r="N1734">
        <v>1.99</v>
      </c>
    </row>
    <row r="1735" spans="1:14">
      <c r="A1735" s="1" t="s">
        <v>1747</v>
      </c>
      <c r="B1735">
        <f>HYPERLINK("https://www.suredividend.com/sure-analysis-research-database/","Texas Roadhouse Inc")</f>
        <v>0</v>
      </c>
      <c r="C1735" t="s">
        <v>1927</v>
      </c>
      <c r="D1735">
        <v>88.17</v>
      </c>
      <c r="E1735">
        <v>0.020103652455838</v>
      </c>
      <c r="H1735">
        <v>1.772539037031314</v>
      </c>
      <c r="I1735">
        <v>5894.461809</v>
      </c>
      <c r="J1735">
        <v>23.27205246753657</v>
      </c>
      <c r="K1735">
        <v>0.4856271334332368</v>
      </c>
      <c r="L1735">
        <v>1.183539114004103</v>
      </c>
      <c r="M1735">
        <v>95.42</v>
      </c>
      <c r="N1735">
        <v>68.19</v>
      </c>
    </row>
    <row r="1736" spans="1:14">
      <c r="A1736" s="1" t="s">
        <v>1748</v>
      </c>
      <c r="B1736">
        <f>HYPERLINK("https://www.suredividend.com/sure-analysis-research-database/","Tyra Biosciences Inc")</f>
        <v>0</v>
      </c>
      <c r="C1736" t="s">
        <v>1921</v>
      </c>
      <c r="D1736">
        <v>5.68</v>
      </c>
      <c r="E1736">
        <v>0</v>
      </c>
      <c r="H1736">
        <v>0</v>
      </c>
      <c r="I1736">
        <v>241.856564</v>
      </c>
      <c r="J1736">
        <v>0</v>
      </c>
      <c r="K1736" t="s">
        <v>1921</v>
      </c>
      <c r="L1736">
        <v>1.431495502984463</v>
      </c>
      <c r="M1736">
        <v>31.36</v>
      </c>
      <c r="N1736">
        <v>4.93</v>
      </c>
    </row>
    <row r="1737" spans="1:14">
      <c r="A1737" s="1" t="s">
        <v>1749</v>
      </c>
      <c r="B1737">
        <f>HYPERLINK("https://www.suredividend.com/sure-analysis-research-database/","AgEagle Aerial Systems Inc.")</f>
        <v>0</v>
      </c>
      <c r="C1737" t="s">
        <v>1924</v>
      </c>
      <c r="D1737">
        <v>0.4411</v>
      </c>
      <c r="E1737">
        <v>0</v>
      </c>
      <c r="H1737">
        <v>0</v>
      </c>
      <c r="I1737">
        <v>38.373746</v>
      </c>
      <c r="J1737">
        <v>0</v>
      </c>
      <c r="K1737" t="s">
        <v>1921</v>
      </c>
      <c r="L1737">
        <v>2.118662313689994</v>
      </c>
      <c r="M1737">
        <v>3.37</v>
      </c>
      <c r="N1737">
        <v>0.4408</v>
      </c>
    </row>
    <row r="1738" spans="1:14">
      <c r="A1738" s="1" t="s">
        <v>1750</v>
      </c>
      <c r="B1738">
        <f>HYPERLINK("https://www.suredividend.com/sure-analysis-UBA/","Urstadt Biddle Properties, Inc.")</f>
        <v>0</v>
      </c>
      <c r="C1738" t="s">
        <v>1929</v>
      </c>
      <c r="D1738">
        <v>16.51</v>
      </c>
      <c r="E1738">
        <v>0.05754088431253785</v>
      </c>
      <c r="F1738">
        <v>0.03260869565217384</v>
      </c>
      <c r="G1738">
        <v>-0.02532467857085374</v>
      </c>
      <c r="H1738">
        <v>0.929823187332894</v>
      </c>
      <c r="I1738">
        <v>672.589018</v>
      </c>
      <c r="J1738">
        <v>26.59085228433621</v>
      </c>
      <c r="K1738">
        <v>1.416981388803557</v>
      </c>
      <c r="L1738">
        <v>0.6820736818272131</v>
      </c>
      <c r="M1738">
        <v>20.75</v>
      </c>
      <c r="N1738">
        <v>14.98</v>
      </c>
    </row>
    <row r="1739" spans="1:14">
      <c r="A1739" s="1" t="s">
        <v>1751</v>
      </c>
      <c r="B1739">
        <f>HYPERLINK("https://www.suredividend.com/sure-analysis-UBSI/","United Bankshares, Inc.")</f>
        <v>0</v>
      </c>
      <c r="C1739" t="s">
        <v>1923</v>
      </c>
      <c r="D1739">
        <v>36.92</v>
      </c>
      <c r="E1739">
        <v>0.0390032502708559</v>
      </c>
      <c r="F1739">
        <v>0.02857142857142847</v>
      </c>
      <c r="G1739">
        <v>0.01149727415513624</v>
      </c>
      <c r="H1739">
        <v>1.418539926980472</v>
      </c>
      <c r="I1739">
        <v>4969.14347</v>
      </c>
      <c r="J1739">
        <v>14.47543985889111</v>
      </c>
      <c r="K1739">
        <v>0.5498216771242139</v>
      </c>
      <c r="L1739">
        <v>0.694277751769658</v>
      </c>
      <c r="M1739">
        <v>40.44</v>
      </c>
      <c r="N1739">
        <v>32.34</v>
      </c>
    </row>
    <row r="1740" spans="1:14">
      <c r="A1740" s="1" t="s">
        <v>1752</v>
      </c>
      <c r="B1740">
        <f>HYPERLINK("https://www.suredividend.com/sure-analysis-research-database/","United Community Banks Inc")</f>
        <v>0</v>
      </c>
      <c r="C1740" t="s">
        <v>1923</v>
      </c>
      <c r="D1740">
        <v>34.83</v>
      </c>
      <c r="E1740">
        <v>0.023881814757157</v>
      </c>
      <c r="F1740">
        <v>0.09999999999999987</v>
      </c>
      <c r="G1740">
        <v>0.1708049129648923</v>
      </c>
      <c r="H1740">
        <v>0.8318036079918111</v>
      </c>
      <c r="I1740">
        <v>3694.168648</v>
      </c>
      <c r="J1740">
        <v>15.89176817980022</v>
      </c>
      <c r="K1740">
        <v>0.3494973142822736</v>
      </c>
      <c r="L1740">
        <v>0.7832995130918541</v>
      </c>
      <c r="M1740">
        <v>38.56</v>
      </c>
      <c r="N1740">
        <v>27.67</v>
      </c>
    </row>
    <row r="1741" spans="1:14">
      <c r="A1741" s="1" t="s">
        <v>1753</v>
      </c>
      <c r="B1741">
        <f>HYPERLINK("https://www.suredividend.com/sure-analysis-research-database/","Ultra Clean Hldgs Inc")</f>
        <v>0</v>
      </c>
      <c r="C1741" t="s">
        <v>1920</v>
      </c>
      <c r="D1741">
        <v>27.09</v>
      </c>
      <c r="E1741">
        <v>0</v>
      </c>
      <c r="H1741">
        <v>0</v>
      </c>
      <c r="I1741">
        <v>1230.72514</v>
      </c>
      <c r="J1741">
        <v>15.34569999800499</v>
      </c>
      <c r="K1741">
        <v>0</v>
      </c>
      <c r="L1741">
        <v>1.855053699524152</v>
      </c>
      <c r="M1741">
        <v>60.84</v>
      </c>
      <c r="N1741">
        <v>25.19</v>
      </c>
    </row>
    <row r="1742" spans="1:14">
      <c r="A1742" s="1" t="s">
        <v>1754</v>
      </c>
      <c r="B1742">
        <f>HYPERLINK("https://www.suredividend.com/sure-analysis-research-database/","Udemy Inc")</f>
        <v>0</v>
      </c>
      <c r="C1742" t="s">
        <v>1921</v>
      </c>
      <c r="D1742">
        <v>13.27</v>
      </c>
      <c r="E1742">
        <v>0</v>
      </c>
      <c r="H1742">
        <v>0</v>
      </c>
      <c r="I1742">
        <v>1853.216436</v>
      </c>
      <c r="J1742" t="s">
        <v>1921</v>
      </c>
      <c r="K1742">
        <v>-0</v>
      </c>
      <c r="M1742">
        <v>32.62</v>
      </c>
      <c r="N1742">
        <v>9.470000000000001</v>
      </c>
    </row>
    <row r="1743" spans="1:14">
      <c r="A1743" s="1" t="s">
        <v>1755</v>
      </c>
      <c r="B1743">
        <f>HYPERLINK("https://www.suredividend.com/sure-analysis-UE/","Urban Edge Properties")</f>
        <v>0</v>
      </c>
      <c r="C1743" t="s">
        <v>1929</v>
      </c>
      <c r="D1743">
        <v>13.18</v>
      </c>
      <c r="E1743">
        <v>0.04855842185128983</v>
      </c>
      <c r="H1743">
        <v>0.6207667976191661</v>
      </c>
      <c r="I1743">
        <v>1547.895695</v>
      </c>
      <c r="J1743">
        <v>16.95562208125664</v>
      </c>
      <c r="K1743">
        <v>0.8271376383999548</v>
      </c>
      <c r="L1743">
        <v>0.8795217565000941</v>
      </c>
      <c r="M1743">
        <v>19.44</v>
      </c>
      <c r="N1743">
        <v>12.96</v>
      </c>
    </row>
    <row r="1744" spans="1:14">
      <c r="A1744" s="1" t="s">
        <v>1756</v>
      </c>
      <c r="B1744">
        <f>HYPERLINK("https://www.suredividend.com/sure-analysis-research-database/","Uranium Energy Corp")</f>
        <v>0</v>
      </c>
      <c r="C1744" t="s">
        <v>1926</v>
      </c>
      <c r="D1744">
        <v>3.71</v>
      </c>
      <c r="E1744">
        <v>0</v>
      </c>
      <c r="H1744">
        <v>0</v>
      </c>
      <c r="I1744">
        <v>1282.79209</v>
      </c>
      <c r="J1744">
        <v>0</v>
      </c>
      <c r="K1744" t="s">
        <v>1921</v>
      </c>
      <c r="L1744">
        <v>2.289751034335678</v>
      </c>
      <c r="M1744">
        <v>6.6</v>
      </c>
      <c r="N1744">
        <v>2.34</v>
      </c>
    </row>
    <row r="1745" spans="1:14">
      <c r="A1745" s="1" t="s">
        <v>1757</v>
      </c>
      <c r="B1745">
        <f>HYPERLINK("https://www.suredividend.com/sure-analysis-research-database/","Universal Electronics Inc.")</f>
        <v>0</v>
      </c>
      <c r="C1745" t="s">
        <v>1920</v>
      </c>
      <c r="D1745">
        <v>17.49</v>
      </c>
      <c r="E1745">
        <v>0</v>
      </c>
      <c r="H1745">
        <v>0</v>
      </c>
      <c r="I1745">
        <v>221.316694</v>
      </c>
      <c r="J1745" t="s">
        <v>1921</v>
      </c>
      <c r="K1745">
        <v>-0</v>
      </c>
      <c r="L1745">
        <v>0.8392413018545241</v>
      </c>
      <c r="M1745">
        <v>48.1</v>
      </c>
      <c r="N1745">
        <v>16.84</v>
      </c>
    </row>
    <row r="1746" spans="1:14">
      <c r="A1746" s="1" t="s">
        <v>1758</v>
      </c>
      <c r="B1746">
        <f>HYPERLINK("https://www.suredividend.com/sure-analysis-research-database/","United Fire Group Inc")</f>
        <v>0</v>
      </c>
      <c r="C1746" t="s">
        <v>1923</v>
      </c>
      <c r="D1746">
        <v>29.99</v>
      </c>
      <c r="E1746">
        <v>0.02051484421368</v>
      </c>
      <c r="F1746">
        <v>0.06666666666666665</v>
      </c>
      <c r="G1746">
        <v>-0.1058870393420188</v>
      </c>
      <c r="H1746">
        <v>0.615240177968289</v>
      </c>
      <c r="I1746">
        <v>753.5466740000001</v>
      </c>
      <c r="J1746">
        <v>11.41149519974559</v>
      </c>
      <c r="K1746">
        <v>0.2375444702580267</v>
      </c>
      <c r="L1746">
        <v>0.5644931757150431</v>
      </c>
      <c r="M1746">
        <v>37.06</v>
      </c>
      <c r="N1746">
        <v>19.41</v>
      </c>
    </row>
    <row r="1747" spans="1:14">
      <c r="A1747" s="1" t="s">
        <v>1759</v>
      </c>
      <c r="B1747">
        <f>HYPERLINK("https://www.suredividend.com/sure-analysis-research-database/","UNIFI, Inc.")</f>
        <v>0</v>
      </c>
      <c r="C1747" t="s">
        <v>1927</v>
      </c>
      <c r="D1747">
        <v>9.449999999999999</v>
      </c>
      <c r="E1747">
        <v>0</v>
      </c>
      <c r="H1747">
        <v>0</v>
      </c>
      <c r="I1747">
        <v>170.101805</v>
      </c>
      <c r="J1747">
        <v>11.21230010876013</v>
      </c>
      <c r="K1747">
        <v>0</v>
      </c>
      <c r="L1747">
        <v>0.9469595882414481</v>
      </c>
      <c r="M1747">
        <v>25.7</v>
      </c>
      <c r="N1747">
        <v>9.09</v>
      </c>
    </row>
    <row r="1748" spans="1:14">
      <c r="A1748" s="1" t="s">
        <v>1760</v>
      </c>
      <c r="B1748">
        <f>HYPERLINK("https://www.suredividend.com/sure-analysis-research-database/","UFP Industries Inc")</f>
        <v>0</v>
      </c>
      <c r="C1748" t="s">
        <v>1925</v>
      </c>
      <c r="D1748">
        <v>74.53</v>
      </c>
      <c r="E1748">
        <v>0.012042469583534</v>
      </c>
      <c r="H1748">
        <v>0.8975252580608261</v>
      </c>
      <c r="I1748">
        <v>4592.726937</v>
      </c>
      <c r="J1748">
        <v>7.310989322280502</v>
      </c>
      <c r="K1748">
        <v>0.08655016953334871</v>
      </c>
      <c r="L1748">
        <v>0.9858808480944511</v>
      </c>
      <c r="M1748">
        <v>94.48999999999999</v>
      </c>
      <c r="N1748">
        <v>63.93</v>
      </c>
    </row>
    <row r="1749" spans="1:14">
      <c r="A1749" s="1" t="s">
        <v>1761</v>
      </c>
      <c r="B1749">
        <f>HYPERLINK("https://www.suredividend.com/sure-analysis-research-database/","UFP Technologies Inc.")</f>
        <v>0</v>
      </c>
      <c r="C1749" t="s">
        <v>1927</v>
      </c>
      <c r="D1749">
        <v>88.97</v>
      </c>
      <c r="E1749">
        <v>0</v>
      </c>
      <c r="H1749">
        <v>0</v>
      </c>
      <c r="I1749">
        <v>673.194263</v>
      </c>
      <c r="J1749">
        <v>0</v>
      </c>
      <c r="K1749" t="s">
        <v>1921</v>
      </c>
      <c r="L1749">
        <v>0.8176727587504621</v>
      </c>
      <c r="M1749">
        <v>100.64</v>
      </c>
      <c r="N1749">
        <v>56.1</v>
      </c>
    </row>
    <row r="1750" spans="1:14">
      <c r="A1750" s="1" t="s">
        <v>1762</v>
      </c>
      <c r="B1750">
        <f>HYPERLINK("https://www.suredividend.com/sure-analysis-UHT/","Universal Health Realty Income Trust")</f>
        <v>0</v>
      </c>
      <c r="C1750" t="s">
        <v>1929</v>
      </c>
      <c r="D1750">
        <v>41.42</v>
      </c>
      <c r="E1750">
        <v>0.06856591018831482</v>
      </c>
      <c r="F1750">
        <v>0.01428571428571423</v>
      </c>
      <c r="G1750">
        <v>0.01318170859247147</v>
      </c>
      <c r="H1750">
        <v>2.771862377606047</v>
      </c>
      <c r="I1750">
        <v>571.624911</v>
      </c>
      <c r="J1750">
        <v>5.313388031083267</v>
      </c>
      <c r="K1750">
        <v>0.3553669714879548</v>
      </c>
      <c r="L1750">
        <v>0.489692468417638</v>
      </c>
      <c r="M1750">
        <v>58.89</v>
      </c>
      <c r="N1750">
        <v>40.92</v>
      </c>
    </row>
    <row r="1751" spans="1:14">
      <c r="A1751" s="1" t="s">
        <v>1763</v>
      </c>
      <c r="B1751">
        <f>HYPERLINK("https://www.suredividend.com/sure-analysis-research-database/","United Insurance Holdings Corp")</f>
        <v>0</v>
      </c>
      <c r="C1751" t="s">
        <v>1923</v>
      </c>
      <c r="D1751">
        <v>0.6159</v>
      </c>
      <c r="E1751">
        <v>0.19309765817034</v>
      </c>
      <c r="H1751">
        <v>0.118928847667112</v>
      </c>
      <c r="I1751">
        <v>26.676579</v>
      </c>
      <c r="J1751">
        <v>0</v>
      </c>
      <c r="K1751" t="s">
        <v>1921</v>
      </c>
      <c r="L1751">
        <v>0.6780278832069531</v>
      </c>
      <c r="M1751">
        <v>4.94</v>
      </c>
      <c r="N1751">
        <v>0.585</v>
      </c>
    </row>
    <row r="1752" spans="1:14">
      <c r="A1752" s="1" t="s">
        <v>1764</v>
      </c>
      <c r="B1752">
        <f>HYPERLINK("https://www.suredividend.com/sure-analysis-research-database/","Unisys Corp.")</f>
        <v>0</v>
      </c>
      <c r="C1752" t="s">
        <v>1920</v>
      </c>
      <c r="D1752">
        <v>8.789999999999999</v>
      </c>
      <c r="E1752">
        <v>0</v>
      </c>
      <c r="H1752">
        <v>0</v>
      </c>
      <c r="I1752">
        <v>595.841023</v>
      </c>
      <c r="J1752" t="s">
        <v>1921</v>
      </c>
      <c r="K1752">
        <v>-0</v>
      </c>
      <c r="L1752">
        <v>1.146102299747882</v>
      </c>
      <c r="M1752">
        <v>27.3</v>
      </c>
      <c r="N1752">
        <v>7.23</v>
      </c>
    </row>
    <row r="1753" spans="1:14">
      <c r="A1753" s="1" t="s">
        <v>1765</v>
      </c>
      <c r="B1753">
        <f>HYPERLINK("https://www.suredividend.com/sure-analysis-research-database/","Frontier Group Holdings Inc")</f>
        <v>0</v>
      </c>
      <c r="C1753" t="s">
        <v>1921</v>
      </c>
      <c r="D1753">
        <v>9.58</v>
      </c>
      <c r="E1753">
        <v>0</v>
      </c>
      <c r="H1753">
        <v>0</v>
      </c>
      <c r="I1753">
        <v>2085.34702</v>
      </c>
      <c r="J1753">
        <v>0</v>
      </c>
      <c r="K1753" t="s">
        <v>1921</v>
      </c>
      <c r="L1753">
        <v>1.564226099015105</v>
      </c>
      <c r="M1753">
        <v>17.5</v>
      </c>
      <c r="N1753">
        <v>8.19</v>
      </c>
    </row>
    <row r="1754" spans="1:14">
      <c r="A1754" s="1" t="s">
        <v>1766</v>
      </c>
      <c r="B1754">
        <f>HYPERLINK("https://www.suredividend.com/sure-analysis-research-database/","Universal Logistics Holdings Inc")</f>
        <v>0</v>
      </c>
      <c r="C1754" t="s">
        <v>1924</v>
      </c>
      <c r="D1754">
        <v>32.85</v>
      </c>
      <c r="E1754">
        <v>0.01268286320515</v>
      </c>
      <c r="F1754">
        <v>0</v>
      </c>
      <c r="G1754">
        <v>0</v>
      </c>
      <c r="H1754">
        <v>0.416632056289184</v>
      </c>
      <c r="I1754">
        <v>868.611093</v>
      </c>
      <c r="J1754">
        <v>7.674531001669892</v>
      </c>
      <c r="K1754">
        <v>0.09872797542397727</v>
      </c>
      <c r="L1754">
        <v>0.819522689173366</v>
      </c>
      <c r="M1754">
        <v>40.64</v>
      </c>
      <c r="N1754">
        <v>15.61</v>
      </c>
    </row>
    <row r="1755" spans="1:14">
      <c r="A1755" s="1" t="s">
        <v>1767</v>
      </c>
      <c r="B1755">
        <f>HYPERLINK("https://www.suredividend.com/sure-analysis-UMBF/","UMB Financial Corp.")</f>
        <v>0</v>
      </c>
      <c r="C1755" t="s">
        <v>1923</v>
      </c>
      <c r="D1755">
        <v>87.13</v>
      </c>
      <c r="E1755">
        <v>0.01698611270515322</v>
      </c>
      <c r="F1755">
        <v>0</v>
      </c>
      <c r="G1755">
        <v>0.06114273740264831</v>
      </c>
      <c r="H1755">
        <v>1.471049320345211</v>
      </c>
      <c r="I1755">
        <v>4208.970787</v>
      </c>
      <c r="J1755">
        <v>10.106008871836</v>
      </c>
      <c r="K1755">
        <v>0.1724559578364843</v>
      </c>
      <c r="L1755">
        <v>0.7860302061579331</v>
      </c>
      <c r="M1755">
        <v>110.9</v>
      </c>
      <c r="N1755">
        <v>81.23</v>
      </c>
    </row>
    <row r="1756" spans="1:14">
      <c r="A1756" s="1" t="s">
        <v>1768</v>
      </c>
      <c r="B1756">
        <f>HYPERLINK("https://www.suredividend.com/sure-analysis-UMH/","UMH Properties Inc")</f>
        <v>0</v>
      </c>
      <c r="C1756" t="s">
        <v>1929</v>
      </c>
      <c r="D1756">
        <v>15.59</v>
      </c>
      <c r="E1756">
        <v>0.05131494547787043</v>
      </c>
      <c r="F1756">
        <v>0.05263157894736836</v>
      </c>
      <c r="G1756">
        <v>0.02129568760013512</v>
      </c>
      <c r="H1756">
        <v>0.778395387553061</v>
      </c>
      <c r="I1756">
        <v>858.4602630000001</v>
      </c>
      <c r="J1756" t="s">
        <v>1921</v>
      </c>
      <c r="K1756" t="s">
        <v>1921</v>
      </c>
      <c r="L1756">
        <v>0.731654607382168</v>
      </c>
      <c r="M1756">
        <v>26.71</v>
      </c>
      <c r="N1756">
        <v>15.14</v>
      </c>
    </row>
    <row r="1757" spans="1:14">
      <c r="A1757" s="1" t="s">
        <v>1769</v>
      </c>
      <c r="B1757">
        <f>HYPERLINK("https://www.suredividend.com/sure-analysis-UNF/","Unifirst Corp.")</f>
        <v>0</v>
      </c>
      <c r="C1757" t="s">
        <v>1924</v>
      </c>
      <c r="D1757">
        <v>167.47</v>
      </c>
      <c r="E1757">
        <v>0.007165462470890309</v>
      </c>
      <c r="F1757">
        <v>0.2000000000000002</v>
      </c>
      <c r="G1757">
        <v>0.5157165665103982</v>
      </c>
      <c r="H1757">
        <v>1.19843505247069</v>
      </c>
      <c r="I1757">
        <v>2527.643802</v>
      </c>
      <c r="J1757">
        <v>22.60114096032619</v>
      </c>
      <c r="K1757">
        <v>0.2034694486367895</v>
      </c>
      <c r="L1757">
        <v>0.659904070868627</v>
      </c>
      <c r="M1757">
        <v>219.64</v>
      </c>
      <c r="N1757">
        <v>154.72</v>
      </c>
    </row>
    <row r="1758" spans="1:14">
      <c r="A1758" s="1" t="s">
        <v>1770</v>
      </c>
      <c r="B1758">
        <f>HYPERLINK("https://www.suredividend.com/sure-analysis-research-database/","United Natural Foods Inc.")</f>
        <v>0</v>
      </c>
      <c r="C1758" t="s">
        <v>1928</v>
      </c>
      <c r="D1758">
        <v>36.58</v>
      </c>
      <c r="E1758">
        <v>0</v>
      </c>
      <c r="H1758">
        <v>0</v>
      </c>
      <c r="I1758">
        <v>2133.064556</v>
      </c>
      <c r="J1758">
        <v>8.6010667575</v>
      </c>
      <c r="K1758">
        <v>0</v>
      </c>
      <c r="L1758">
        <v>0.9750358029803821</v>
      </c>
      <c r="M1758">
        <v>57.89</v>
      </c>
      <c r="N1758">
        <v>32.9</v>
      </c>
    </row>
    <row r="1759" spans="1:14">
      <c r="A1759" s="1" t="s">
        <v>1771</v>
      </c>
      <c r="B1759">
        <f>HYPERLINK("https://www.suredividend.com/sure-analysis-UNIT/","Uniti Group Inc")</f>
        <v>0</v>
      </c>
      <c r="C1759" t="s">
        <v>1929</v>
      </c>
      <c r="D1759">
        <v>6.77</v>
      </c>
      <c r="E1759">
        <v>0.08862629246676514</v>
      </c>
      <c r="F1759">
        <v>0</v>
      </c>
      <c r="G1759">
        <v>-0.242141716744801</v>
      </c>
      <c r="H1759">
        <v>0.586707317944696</v>
      </c>
      <c r="I1759">
        <v>1606.191145</v>
      </c>
      <c r="J1759">
        <v>8.708663955464225</v>
      </c>
      <c r="K1759">
        <v>0.8725569868303034</v>
      </c>
      <c r="L1759">
        <v>1.106620725970106</v>
      </c>
      <c r="M1759">
        <v>13.83</v>
      </c>
      <c r="N1759">
        <v>6.65</v>
      </c>
    </row>
    <row r="1760" spans="1:14">
      <c r="A1760" s="1" t="s">
        <v>1772</v>
      </c>
      <c r="B1760">
        <f>HYPERLINK("https://www.suredividend.com/sure-analysis-research-database/","Upland Software Inc")</f>
        <v>0</v>
      </c>
      <c r="C1760" t="s">
        <v>1920</v>
      </c>
      <c r="D1760">
        <v>7.77</v>
      </c>
      <c r="E1760">
        <v>0</v>
      </c>
      <c r="H1760">
        <v>0</v>
      </c>
      <c r="I1760">
        <v>243.364248</v>
      </c>
      <c r="J1760">
        <v>0</v>
      </c>
      <c r="K1760" t="s">
        <v>1921</v>
      </c>
      <c r="L1760">
        <v>1.170343627858658</v>
      </c>
      <c r="M1760">
        <v>34.7</v>
      </c>
      <c r="N1760">
        <v>7.76</v>
      </c>
    </row>
    <row r="1761" spans="1:14">
      <c r="A1761" s="1" t="s">
        <v>1773</v>
      </c>
      <c r="B1761">
        <f>HYPERLINK("https://www.suredividend.com/sure-analysis-research-database/","Upwork Inc")</f>
        <v>0</v>
      </c>
      <c r="C1761" t="s">
        <v>1924</v>
      </c>
      <c r="D1761">
        <v>13.59</v>
      </c>
      <c r="E1761">
        <v>0</v>
      </c>
      <c r="H1761">
        <v>0</v>
      </c>
      <c r="I1761">
        <v>1773.914782</v>
      </c>
      <c r="J1761" t="s">
        <v>1921</v>
      </c>
      <c r="K1761">
        <v>-0</v>
      </c>
      <c r="L1761">
        <v>1.853197944961908</v>
      </c>
      <c r="M1761">
        <v>61.9</v>
      </c>
      <c r="N1761">
        <v>13.27</v>
      </c>
    </row>
    <row r="1762" spans="1:14">
      <c r="A1762" s="1" t="s">
        <v>1774</v>
      </c>
      <c r="B1762">
        <f>HYPERLINK("https://www.suredividend.com/sure-analysis-research-database/","Urban Outfitters, Inc.")</f>
        <v>0</v>
      </c>
      <c r="C1762" t="s">
        <v>1927</v>
      </c>
      <c r="D1762">
        <v>22</v>
      </c>
      <c r="E1762">
        <v>0</v>
      </c>
      <c r="H1762">
        <v>0</v>
      </c>
      <c r="I1762">
        <v>2027.838714</v>
      </c>
      <c r="J1762">
        <v>9.183511450865666</v>
      </c>
      <c r="K1762">
        <v>0</v>
      </c>
      <c r="L1762">
        <v>1.210567046324945</v>
      </c>
      <c r="M1762">
        <v>38.17</v>
      </c>
      <c r="N1762">
        <v>17.81</v>
      </c>
    </row>
    <row r="1763" spans="1:14">
      <c r="A1763" s="1" t="s">
        <v>1775</v>
      </c>
      <c r="B1763">
        <f>HYPERLINK("https://www.suredividend.com/sure-analysis-research-database/","Ur-Energy Inc.")</f>
        <v>0</v>
      </c>
      <c r="C1763" t="s">
        <v>1926</v>
      </c>
      <c r="D1763">
        <v>1.11</v>
      </c>
      <c r="E1763">
        <v>0</v>
      </c>
      <c r="H1763">
        <v>0</v>
      </c>
      <c r="I1763">
        <v>247.314691</v>
      </c>
      <c r="J1763">
        <v>0</v>
      </c>
      <c r="K1763" t="s">
        <v>1921</v>
      </c>
      <c r="L1763">
        <v>1.816805671624652</v>
      </c>
      <c r="M1763">
        <v>2.15</v>
      </c>
      <c r="N1763">
        <v>0.9510000000000001</v>
      </c>
    </row>
    <row r="1764" spans="1:14">
      <c r="A1764" s="1" t="s">
        <v>1776</v>
      </c>
      <c r="B1764">
        <f>HYPERLINK("https://www.suredividend.com/sure-analysis-research-database/","UroGen Pharma Ltd")</f>
        <v>0</v>
      </c>
      <c r="C1764" t="s">
        <v>1922</v>
      </c>
      <c r="D1764">
        <v>10.65</v>
      </c>
      <c r="E1764">
        <v>0</v>
      </c>
      <c r="H1764">
        <v>0</v>
      </c>
      <c r="I1764">
        <v>242.186602</v>
      </c>
      <c r="J1764">
        <v>0</v>
      </c>
      <c r="K1764" t="s">
        <v>1921</v>
      </c>
      <c r="L1764">
        <v>1.101446354159538</v>
      </c>
      <c r="M1764">
        <v>19.66</v>
      </c>
      <c r="N1764">
        <v>4.85</v>
      </c>
    </row>
    <row r="1765" spans="1:14">
      <c r="A1765" s="1" t="s">
        <v>1777</v>
      </c>
      <c r="B1765">
        <f>HYPERLINK("https://www.suredividend.com/sure-analysis-research-database/","ProShares Trust")</f>
        <v>0</v>
      </c>
      <c r="D1765">
        <v>13.62</v>
      </c>
      <c r="E1765">
        <v>0</v>
      </c>
      <c r="H1765">
        <v>0</v>
      </c>
      <c r="I1765">
        <v>103.8525</v>
      </c>
      <c r="J1765">
        <v>0</v>
      </c>
      <c r="K1765" t="s">
        <v>1921</v>
      </c>
      <c r="L1765">
        <v>3.344281424799204</v>
      </c>
      <c r="M1765">
        <v>58.41</v>
      </c>
      <c r="N1765">
        <v>13.25</v>
      </c>
    </row>
    <row r="1766" spans="1:14">
      <c r="A1766" s="1" t="s">
        <v>1778</v>
      </c>
      <c r="B1766">
        <f>HYPERLINK("https://www.suredividend.com/sure-analysis-research-database/","UserTesting Inc")</f>
        <v>0</v>
      </c>
      <c r="C1766" t="s">
        <v>1921</v>
      </c>
      <c r="D1766">
        <v>3.71</v>
      </c>
      <c r="E1766">
        <v>0</v>
      </c>
      <c r="H1766">
        <v>0</v>
      </c>
      <c r="I1766">
        <v>534.16032</v>
      </c>
      <c r="J1766">
        <v>0</v>
      </c>
      <c r="K1766" t="s">
        <v>1921</v>
      </c>
      <c r="M1766">
        <v>15.98</v>
      </c>
      <c r="N1766">
        <v>3.31</v>
      </c>
    </row>
    <row r="1767" spans="1:14">
      <c r="A1767" s="1" t="s">
        <v>1779</v>
      </c>
      <c r="B1767">
        <f>HYPERLINK("https://www.suredividend.com/sure-analysis-research-database/","United States Lime &amp; Minerals Inc.")</f>
        <v>0</v>
      </c>
      <c r="C1767" t="s">
        <v>1925</v>
      </c>
      <c r="D1767">
        <v>106.31</v>
      </c>
      <c r="E1767">
        <v>0.007130597421641001</v>
      </c>
      <c r="F1767">
        <v>0.25</v>
      </c>
      <c r="G1767">
        <v>0.08178074106640287</v>
      </c>
      <c r="H1767">
        <v>0.758053811894663</v>
      </c>
      <c r="I1767">
        <v>603.161479</v>
      </c>
      <c r="J1767">
        <v>15.9452634123774</v>
      </c>
      <c r="K1767">
        <v>0.1136512461611189</v>
      </c>
      <c r="L1767">
        <v>0.6155160919157771</v>
      </c>
      <c r="M1767">
        <v>138.14</v>
      </c>
      <c r="N1767">
        <v>101.96</v>
      </c>
    </row>
    <row r="1768" spans="1:14">
      <c r="A1768" s="1" t="s">
        <v>1780</v>
      </c>
      <c r="B1768">
        <f>HYPERLINK("https://www.suredividend.com/sure-analysis-research-database/","United States Cellular Corporation")</f>
        <v>0</v>
      </c>
      <c r="C1768" t="s">
        <v>1931</v>
      </c>
      <c r="D1768">
        <v>25.95</v>
      </c>
      <c r="E1768">
        <v>0</v>
      </c>
      <c r="H1768">
        <v>0</v>
      </c>
      <c r="I1768">
        <v>1363.898265</v>
      </c>
      <c r="J1768">
        <v>10.49152511538462</v>
      </c>
      <c r="K1768">
        <v>0</v>
      </c>
      <c r="L1768">
        <v>0.4437297998900041</v>
      </c>
      <c r="M1768">
        <v>33.67</v>
      </c>
      <c r="N1768">
        <v>25.39</v>
      </c>
    </row>
    <row r="1769" spans="1:14">
      <c r="A1769" s="1" t="s">
        <v>1781</v>
      </c>
      <c r="B1769">
        <f>HYPERLINK("https://www.suredividend.com/sure-analysis-research-database/","Usana Health Sciences Inc")</f>
        <v>0</v>
      </c>
      <c r="C1769" t="s">
        <v>1928</v>
      </c>
      <c r="D1769">
        <v>56.41</v>
      </c>
      <c r="E1769">
        <v>0</v>
      </c>
      <c r="H1769">
        <v>0</v>
      </c>
      <c r="I1769">
        <v>1082.976272</v>
      </c>
      <c r="J1769">
        <v>12.13065406413818</v>
      </c>
      <c r="K1769">
        <v>0</v>
      </c>
      <c r="L1769">
        <v>0.468479642460627</v>
      </c>
      <c r="M1769">
        <v>103.95</v>
      </c>
      <c r="N1769">
        <v>55</v>
      </c>
    </row>
    <row r="1770" spans="1:14">
      <c r="A1770" s="1" t="s">
        <v>1782</v>
      </c>
      <c r="B1770">
        <f>HYPERLINK("https://www.suredividend.com/sure-analysis-research-database/","U.S. Physical Therapy, Inc.")</f>
        <v>0</v>
      </c>
      <c r="C1770" t="s">
        <v>1922</v>
      </c>
      <c r="D1770">
        <v>79.73</v>
      </c>
      <c r="E1770">
        <v>0.020062512146068</v>
      </c>
      <c r="H1770">
        <v>1.599584093406011</v>
      </c>
      <c r="I1770">
        <v>1036.828454</v>
      </c>
      <c r="J1770">
        <v>27.3699502098622</v>
      </c>
      <c r="K1770">
        <v>0.5459331376812324</v>
      </c>
      <c r="L1770">
        <v>0.592371433757655</v>
      </c>
      <c r="M1770">
        <v>130.88</v>
      </c>
      <c r="N1770">
        <v>73.3</v>
      </c>
    </row>
    <row r="1771" spans="1:14">
      <c r="A1771" s="1" t="s">
        <v>1783</v>
      </c>
      <c r="B1771">
        <f>HYPERLINK("https://www.suredividend.com/sure-analysis-research-database/","U.S. Xpress Enterprises Inc")</f>
        <v>0</v>
      </c>
      <c r="C1771" t="s">
        <v>1924</v>
      </c>
      <c r="D1771">
        <v>2.58</v>
      </c>
      <c r="E1771">
        <v>0</v>
      </c>
      <c r="H1771">
        <v>0</v>
      </c>
      <c r="I1771">
        <v>92.091645</v>
      </c>
      <c r="J1771">
        <v>0</v>
      </c>
      <c r="K1771" t="s">
        <v>1921</v>
      </c>
      <c r="L1771">
        <v>1.491648566799348</v>
      </c>
      <c r="M1771">
        <v>9.4</v>
      </c>
      <c r="N1771">
        <v>2.13</v>
      </c>
    </row>
    <row r="1772" spans="1:14">
      <c r="A1772" s="1" t="s">
        <v>1784</v>
      </c>
      <c r="B1772">
        <f>HYPERLINK("https://www.suredividend.com/sure-analysis-research-database/","Unitil Corp.")</f>
        <v>0</v>
      </c>
      <c r="C1772" t="s">
        <v>1930</v>
      </c>
      <c r="D1772">
        <v>45.78</v>
      </c>
      <c r="E1772">
        <v>0.033497471061953</v>
      </c>
      <c r="F1772">
        <v>0.02631578947368429</v>
      </c>
      <c r="G1772">
        <v>0.01613736474159566</v>
      </c>
      <c r="H1772">
        <v>1.533514225216234</v>
      </c>
      <c r="I1772">
        <v>734.103221</v>
      </c>
      <c r="J1772">
        <v>17.95356260754726</v>
      </c>
      <c r="K1772">
        <v>0.5943853586109433</v>
      </c>
      <c r="L1772">
        <v>0.244044428320188</v>
      </c>
      <c r="M1772">
        <v>60.67</v>
      </c>
      <c r="N1772">
        <v>39.62</v>
      </c>
    </row>
    <row r="1773" spans="1:14">
      <c r="A1773" s="1" t="s">
        <v>1785</v>
      </c>
      <c r="B1773">
        <f>HYPERLINK("https://www.suredividend.com/sure-analysis-research-database/","Utah Medical Products, Inc.")</f>
        <v>0</v>
      </c>
      <c r="C1773" t="s">
        <v>1922</v>
      </c>
      <c r="D1773">
        <v>82.59999999999999</v>
      </c>
      <c r="E1773">
        <v>0.010497129692632</v>
      </c>
      <c r="F1773">
        <v>0.01754385964912264</v>
      </c>
      <c r="G1773">
        <v>0.01439440873959041</v>
      </c>
      <c r="H1773">
        <v>0.8670629126114641</v>
      </c>
      <c r="I1773">
        <v>299.419383</v>
      </c>
      <c r="J1773">
        <v>0</v>
      </c>
      <c r="K1773" t="s">
        <v>1921</v>
      </c>
      <c r="L1773">
        <v>0.5111129835275741</v>
      </c>
      <c r="M1773">
        <v>130.13</v>
      </c>
      <c r="N1773">
        <v>79.83</v>
      </c>
    </row>
    <row r="1774" spans="1:14">
      <c r="A1774" s="1" t="s">
        <v>1786</v>
      </c>
      <c r="B1774">
        <f>HYPERLINK("https://www.suredividend.com/sure-analysis-research-database/","Utz Brands Inc")</f>
        <v>0</v>
      </c>
      <c r="C1774" t="s">
        <v>1921</v>
      </c>
      <c r="D1774">
        <v>14.2</v>
      </c>
      <c r="E1774">
        <v>0.01512660844954</v>
      </c>
      <c r="H1774">
        <v>0.214797839983479</v>
      </c>
      <c r="I1774">
        <v>1146.35038</v>
      </c>
      <c r="J1774">
        <v>0</v>
      </c>
      <c r="K1774" t="s">
        <v>1921</v>
      </c>
      <c r="L1774">
        <v>0.8289895100276921</v>
      </c>
      <c r="M1774">
        <v>19.91</v>
      </c>
      <c r="N1774">
        <v>11.97</v>
      </c>
    </row>
    <row r="1775" spans="1:14">
      <c r="A1775" s="1" t="s">
        <v>1787</v>
      </c>
      <c r="B1775">
        <f>HYPERLINK("https://www.suredividend.com/sure-analysis-research-database/","Energy Fuels Inc")</f>
        <v>0</v>
      </c>
      <c r="C1775" t="s">
        <v>1926</v>
      </c>
      <c r="D1775">
        <v>6.15</v>
      </c>
      <c r="E1775">
        <v>0</v>
      </c>
      <c r="H1775">
        <v>0</v>
      </c>
      <c r="I1775">
        <v>961.141182</v>
      </c>
      <c r="J1775">
        <v>0</v>
      </c>
      <c r="K1775" t="s">
        <v>1921</v>
      </c>
      <c r="L1775">
        <v>2.112496627238706</v>
      </c>
      <c r="M1775">
        <v>11.39</v>
      </c>
      <c r="N1775">
        <v>4.69</v>
      </c>
    </row>
    <row r="1776" spans="1:14">
      <c r="A1776" s="1" t="s">
        <v>1788</v>
      </c>
      <c r="B1776">
        <f>HYPERLINK("https://www.suredividend.com/sure-analysis-research-database/","Universal Insurance Holdings Inc")</f>
        <v>0</v>
      </c>
      <c r="C1776" t="s">
        <v>1923</v>
      </c>
      <c r="D1776">
        <v>8.67</v>
      </c>
      <c r="E1776">
        <v>0.072413373388407</v>
      </c>
      <c r="F1776">
        <v>0</v>
      </c>
      <c r="G1776">
        <v>0.0424022162772979</v>
      </c>
      <c r="H1776">
        <v>0.627823947277488</v>
      </c>
      <c r="I1776">
        <v>266.307763</v>
      </c>
      <c r="J1776" t="s">
        <v>1921</v>
      </c>
      <c r="K1776" t="s">
        <v>1921</v>
      </c>
      <c r="L1776">
        <v>0.5516498165592401</v>
      </c>
      <c r="M1776">
        <v>18.89</v>
      </c>
      <c r="N1776">
        <v>8.390000000000001</v>
      </c>
    </row>
    <row r="1777" spans="1:14">
      <c r="A1777" s="1" t="s">
        <v>1789</v>
      </c>
      <c r="B1777">
        <f>HYPERLINK("https://www.suredividend.com/sure-analysis-research-database/","Univest Financial Corp")</f>
        <v>0</v>
      </c>
      <c r="C1777" t="s">
        <v>1923</v>
      </c>
      <c r="D1777">
        <v>24.74</v>
      </c>
      <c r="E1777">
        <v>0.03275559409550501</v>
      </c>
      <c r="H1777">
        <v>0.8103733979228001</v>
      </c>
      <c r="I1777">
        <v>732.133418</v>
      </c>
      <c r="J1777">
        <v>10.1944305345531</v>
      </c>
      <c r="K1777">
        <v>0.334865040463967</v>
      </c>
      <c r="L1777">
        <v>0.5238556030110301</v>
      </c>
      <c r="M1777">
        <v>31.2</v>
      </c>
      <c r="N1777">
        <v>23.48</v>
      </c>
    </row>
    <row r="1778" spans="1:14">
      <c r="A1778" s="1" t="s">
        <v>1790</v>
      </c>
      <c r="B1778">
        <f>HYPERLINK("https://www.suredividend.com/sure-analysis-UVV/","Universal Corp.")</f>
        <v>0</v>
      </c>
      <c r="C1778" t="s">
        <v>1928</v>
      </c>
      <c r="D1778">
        <v>44.41</v>
      </c>
      <c r="E1778">
        <v>0.07115514523755911</v>
      </c>
      <c r="F1778">
        <v>0.01282051282051277</v>
      </c>
      <c r="G1778">
        <v>0.07510994787952185</v>
      </c>
      <c r="H1778">
        <v>3.070263176934026</v>
      </c>
      <c r="I1778">
        <v>1092.232419</v>
      </c>
      <c r="J1778">
        <v>12.54718459391154</v>
      </c>
      <c r="K1778">
        <v>0.8797315693220704</v>
      </c>
      <c r="L1778">
        <v>0.375313304679085</v>
      </c>
      <c r="M1778">
        <v>62.21</v>
      </c>
      <c r="N1778">
        <v>43.64</v>
      </c>
    </row>
    <row r="1779" spans="1:14">
      <c r="A1779" s="1" t="s">
        <v>1791</v>
      </c>
      <c r="B1779">
        <f>HYPERLINK("https://www.suredividend.com/sure-analysis-research-database/","Value Line, Inc.")</f>
        <v>0</v>
      </c>
      <c r="C1779" t="s">
        <v>1923</v>
      </c>
      <c r="D1779">
        <v>59.28</v>
      </c>
      <c r="E1779">
        <v>0.015776253152325</v>
      </c>
      <c r="F1779">
        <v>0.1363636363636365</v>
      </c>
      <c r="G1779">
        <v>0.06790716584560208</v>
      </c>
      <c r="H1779">
        <v>0.935216286869841</v>
      </c>
      <c r="I1779">
        <v>561.485874</v>
      </c>
      <c r="J1779">
        <v>25.08537164455167</v>
      </c>
      <c r="K1779">
        <v>0.3979643773914217</v>
      </c>
      <c r="L1779">
        <v>1.493346463806036</v>
      </c>
      <c r="M1779">
        <v>118.4</v>
      </c>
      <c r="N1779">
        <v>30.46</v>
      </c>
    </row>
    <row r="1780" spans="1:14">
      <c r="A1780" s="1" t="s">
        <v>1792</v>
      </c>
      <c r="B1780">
        <f>HYPERLINK("https://www.suredividend.com/sure-analysis-research-database/","Vapotherm Inc")</f>
        <v>0</v>
      </c>
      <c r="C1780" t="s">
        <v>1922</v>
      </c>
      <c r="D1780">
        <v>1.63</v>
      </c>
      <c r="E1780">
        <v>0</v>
      </c>
      <c r="H1780">
        <v>0</v>
      </c>
      <c r="I1780">
        <v>43.516509</v>
      </c>
      <c r="J1780">
        <v>0</v>
      </c>
      <c r="K1780" t="s">
        <v>1921</v>
      </c>
      <c r="L1780">
        <v>1.482145234856138</v>
      </c>
      <c r="M1780">
        <v>25.8</v>
      </c>
      <c r="N1780">
        <v>1.39</v>
      </c>
    </row>
    <row r="1781" spans="1:14">
      <c r="A1781" s="1" t="s">
        <v>1793</v>
      </c>
      <c r="B1781">
        <f>HYPERLINK("https://www.suredividend.com/sure-analysis-research-database/","Innovate Corp")</f>
        <v>0</v>
      </c>
      <c r="C1781" t="s">
        <v>1928</v>
      </c>
      <c r="D1781">
        <v>0.6901</v>
      </c>
      <c r="E1781">
        <v>0</v>
      </c>
      <c r="H1781">
        <v>0</v>
      </c>
      <c r="I1781">
        <v>54.131642</v>
      </c>
      <c r="J1781">
        <v>0</v>
      </c>
      <c r="K1781" t="s">
        <v>1921</v>
      </c>
      <c r="L1781">
        <v>1.206240970072733</v>
      </c>
      <c r="M1781">
        <v>4.83</v>
      </c>
      <c r="N1781">
        <v>0.6853</v>
      </c>
    </row>
    <row r="1782" spans="1:14">
      <c r="A1782" s="1" t="s">
        <v>1794</v>
      </c>
      <c r="B1782">
        <f>HYPERLINK("https://www.suredividend.com/sure-analysis-research-database/","VBI Vaccines Inc.")</f>
        <v>0</v>
      </c>
      <c r="C1782" t="s">
        <v>1922</v>
      </c>
      <c r="D1782">
        <v>0.672</v>
      </c>
      <c r="E1782">
        <v>0</v>
      </c>
      <c r="H1782">
        <v>0</v>
      </c>
      <c r="I1782">
        <v>173.549036</v>
      </c>
      <c r="J1782" t="s">
        <v>1921</v>
      </c>
      <c r="K1782">
        <v>-0</v>
      </c>
      <c r="L1782">
        <v>2.141784033112085</v>
      </c>
      <c r="M1782">
        <v>3.42</v>
      </c>
      <c r="N1782">
        <v>0.6405000000000001</v>
      </c>
    </row>
    <row r="1783" spans="1:14">
      <c r="A1783" s="1" t="s">
        <v>1795</v>
      </c>
      <c r="B1783">
        <f>HYPERLINK("https://www.suredividend.com/sure-analysis-research-database/","Veritex Holdings Inc")</f>
        <v>0</v>
      </c>
      <c r="C1783" t="s">
        <v>1923</v>
      </c>
      <c r="D1783">
        <v>26.73</v>
      </c>
      <c r="E1783">
        <v>0.029660686266725</v>
      </c>
      <c r="H1783">
        <v>0.7928301439095831</v>
      </c>
      <c r="I1783">
        <v>1442.79548</v>
      </c>
      <c r="J1783">
        <v>0</v>
      </c>
      <c r="K1783" t="s">
        <v>1921</v>
      </c>
      <c r="L1783">
        <v>0.9070079057932511</v>
      </c>
      <c r="M1783">
        <v>44.58</v>
      </c>
      <c r="N1783">
        <v>26.5</v>
      </c>
    </row>
    <row r="1784" spans="1:14">
      <c r="A1784" s="1" t="s">
        <v>1796</v>
      </c>
      <c r="B1784">
        <f>HYPERLINK("https://www.suredividend.com/sure-analysis-research-database/","Visteon Corp.")</f>
        <v>0</v>
      </c>
      <c r="C1784" t="s">
        <v>1927</v>
      </c>
      <c r="D1784">
        <v>114.7</v>
      </c>
      <c r="E1784">
        <v>0</v>
      </c>
      <c r="H1784">
        <v>0</v>
      </c>
      <c r="I1784">
        <v>3225.602003</v>
      </c>
      <c r="J1784">
        <v>39.33660978658537</v>
      </c>
      <c r="K1784">
        <v>0</v>
      </c>
      <c r="L1784">
        <v>1.435818138488067</v>
      </c>
      <c r="M1784">
        <v>140.44</v>
      </c>
      <c r="N1784">
        <v>88.81999999999999</v>
      </c>
    </row>
    <row r="1785" spans="1:14">
      <c r="A1785" s="1" t="s">
        <v>1797</v>
      </c>
      <c r="B1785">
        <f>HYPERLINK("https://www.suredividend.com/sure-analysis-research-database/","Vericel Corp")</f>
        <v>0</v>
      </c>
      <c r="C1785" t="s">
        <v>1922</v>
      </c>
      <c r="D1785">
        <v>23.72</v>
      </c>
      <c r="E1785">
        <v>0</v>
      </c>
      <c r="H1785">
        <v>0</v>
      </c>
      <c r="I1785">
        <v>1119.061543</v>
      </c>
      <c r="J1785" t="s">
        <v>1921</v>
      </c>
      <c r="K1785">
        <v>-0</v>
      </c>
      <c r="L1785">
        <v>1.548903885879476</v>
      </c>
      <c r="M1785">
        <v>52.82</v>
      </c>
      <c r="N1785">
        <v>22.06</v>
      </c>
    </row>
    <row r="1786" spans="1:14">
      <c r="A1786" s="1" t="s">
        <v>1798</v>
      </c>
      <c r="B1786">
        <f>HYPERLINK("https://www.suredividend.com/sure-analysis-research-database/","Veracyte Inc")</f>
        <v>0</v>
      </c>
      <c r="C1786" t="s">
        <v>1922</v>
      </c>
      <c r="D1786">
        <v>16.08</v>
      </c>
      <c r="E1786">
        <v>0</v>
      </c>
      <c r="H1786">
        <v>0</v>
      </c>
      <c r="I1786">
        <v>1150.940761</v>
      </c>
      <c r="J1786">
        <v>0</v>
      </c>
      <c r="K1786" t="s">
        <v>1921</v>
      </c>
      <c r="L1786">
        <v>2.232858063708725</v>
      </c>
      <c r="M1786">
        <v>54.13</v>
      </c>
      <c r="N1786">
        <v>14.85</v>
      </c>
    </row>
    <row r="1787" spans="1:14">
      <c r="A1787" s="1" t="s">
        <v>1799</v>
      </c>
      <c r="B1787">
        <f>HYPERLINK("https://www.suredividend.com/sure-analysis-research-database/","V2X Inc")</f>
        <v>0</v>
      </c>
      <c r="C1787" t="s">
        <v>1924</v>
      </c>
      <c r="D1787">
        <v>32.84</v>
      </c>
      <c r="E1787">
        <v>0</v>
      </c>
      <c r="H1787">
        <v>0</v>
      </c>
      <c r="I1787">
        <v>388.387613</v>
      </c>
      <c r="J1787">
        <v>10.63056282797318</v>
      </c>
      <c r="K1787">
        <v>0</v>
      </c>
      <c r="M1787">
        <v>52.67</v>
      </c>
      <c r="N1787">
        <v>30.69</v>
      </c>
    </row>
    <row r="1788" spans="1:14">
      <c r="A1788" s="1" t="s">
        <v>1800</v>
      </c>
      <c r="B1788">
        <f>HYPERLINK("https://www.suredividend.com/sure-analysis-research-database/","Veeco Instruments Inc")</f>
        <v>0</v>
      </c>
      <c r="C1788" t="s">
        <v>1920</v>
      </c>
      <c r="D1788">
        <v>18.42</v>
      </c>
      <c r="E1788">
        <v>0</v>
      </c>
      <c r="H1788">
        <v>0</v>
      </c>
      <c r="I1788">
        <v>947.252792</v>
      </c>
      <c r="J1788">
        <v>23.57464453000174</v>
      </c>
      <c r="K1788">
        <v>0</v>
      </c>
      <c r="L1788">
        <v>1.300168956547647</v>
      </c>
      <c r="M1788">
        <v>32.4</v>
      </c>
      <c r="N1788">
        <v>17.23</v>
      </c>
    </row>
    <row r="1789" spans="1:14">
      <c r="A1789" s="1" t="s">
        <v>1801</v>
      </c>
      <c r="B1789">
        <f>HYPERLINK("https://www.suredividend.com/sure-analysis-research-database/","Velocity Financial Inc")</f>
        <v>0</v>
      </c>
      <c r="C1789" t="s">
        <v>1923</v>
      </c>
      <c r="D1789">
        <v>11.02</v>
      </c>
      <c r="E1789">
        <v>0</v>
      </c>
      <c r="H1789">
        <v>0</v>
      </c>
      <c r="I1789">
        <v>357.222777</v>
      </c>
      <c r="J1789">
        <v>0</v>
      </c>
      <c r="K1789" t="s">
        <v>1921</v>
      </c>
      <c r="L1789">
        <v>0.7931441440512781</v>
      </c>
      <c r="M1789">
        <v>14</v>
      </c>
      <c r="N1789">
        <v>9.109999999999999</v>
      </c>
    </row>
    <row r="1790" spans="1:14">
      <c r="A1790" s="1" t="s">
        <v>1802</v>
      </c>
      <c r="B1790">
        <f>HYPERLINK("https://www.suredividend.com/sure-analysis-research-database/","Vera Therapeutics Inc")</f>
        <v>0</v>
      </c>
      <c r="C1790" t="s">
        <v>1921</v>
      </c>
      <c r="D1790">
        <v>20.11</v>
      </c>
      <c r="E1790">
        <v>0</v>
      </c>
      <c r="H1790">
        <v>0</v>
      </c>
      <c r="I1790">
        <v>543.82017</v>
      </c>
      <c r="J1790">
        <v>0</v>
      </c>
      <c r="K1790" t="s">
        <v>1921</v>
      </c>
      <c r="L1790">
        <v>0.8895279352347361</v>
      </c>
      <c r="M1790">
        <v>37.11</v>
      </c>
      <c r="N1790">
        <v>12.29</v>
      </c>
    </row>
    <row r="1791" spans="1:14">
      <c r="A1791" s="1" t="s">
        <v>1803</v>
      </c>
      <c r="B1791">
        <f>HYPERLINK("https://www.suredividend.com/sure-analysis-research-database/","Veritone Inc")</f>
        <v>0</v>
      </c>
      <c r="C1791" t="s">
        <v>1920</v>
      </c>
      <c r="D1791">
        <v>5.5</v>
      </c>
      <c r="E1791">
        <v>0</v>
      </c>
      <c r="H1791">
        <v>0</v>
      </c>
      <c r="I1791">
        <v>198.743386</v>
      </c>
      <c r="J1791" t="s">
        <v>1921</v>
      </c>
      <c r="K1791">
        <v>-0</v>
      </c>
      <c r="L1791">
        <v>2.19711113425544</v>
      </c>
      <c r="M1791">
        <v>37.14</v>
      </c>
      <c r="N1791">
        <v>5.34</v>
      </c>
    </row>
    <row r="1792" spans="1:14">
      <c r="A1792" s="1" t="s">
        <v>1804</v>
      </c>
      <c r="B1792">
        <f>HYPERLINK("https://www.suredividend.com/sure-analysis-research-database/","Veru Inc")</f>
        <v>0</v>
      </c>
      <c r="C1792" t="s">
        <v>1922</v>
      </c>
      <c r="D1792">
        <v>10.61</v>
      </c>
      <c r="E1792">
        <v>0</v>
      </c>
      <c r="H1792">
        <v>0</v>
      </c>
      <c r="I1792">
        <v>850.356858</v>
      </c>
      <c r="J1792" t="s">
        <v>1921</v>
      </c>
      <c r="K1792">
        <v>-0</v>
      </c>
      <c r="L1792">
        <v>1.192157856599886</v>
      </c>
      <c r="M1792">
        <v>24.55</v>
      </c>
      <c r="N1792">
        <v>4.34</v>
      </c>
    </row>
    <row r="1793" spans="1:14">
      <c r="A1793" s="1" t="s">
        <v>1805</v>
      </c>
      <c r="B1793">
        <f>HYPERLINK("https://www.suredividend.com/sure-analysis-research-database/","Verve Therapeutics Inc")</f>
        <v>0</v>
      </c>
      <c r="C1793" t="s">
        <v>1921</v>
      </c>
      <c r="D1793">
        <v>31.89</v>
      </c>
      <c r="E1793">
        <v>0</v>
      </c>
      <c r="H1793">
        <v>0</v>
      </c>
      <c r="I1793">
        <v>1917.663821</v>
      </c>
      <c r="J1793">
        <v>0</v>
      </c>
      <c r="K1793" t="s">
        <v>1921</v>
      </c>
      <c r="L1793">
        <v>2.021610579002915</v>
      </c>
      <c r="M1793">
        <v>56.18</v>
      </c>
      <c r="N1793">
        <v>10.7</v>
      </c>
    </row>
    <row r="1794" spans="1:14">
      <c r="A1794" s="1" t="s">
        <v>1806</v>
      </c>
      <c r="B1794">
        <f>HYPERLINK("https://www.suredividend.com/sure-analysis-research-database/","Vonage Holdings Corp")</f>
        <v>0</v>
      </c>
      <c r="C1794" t="s">
        <v>1931</v>
      </c>
      <c r="D1794">
        <v>20.99</v>
      </c>
      <c r="E1794">
        <v>0</v>
      </c>
      <c r="H1794">
        <v>0</v>
      </c>
      <c r="I1794">
        <v>0</v>
      </c>
      <c r="J1794">
        <v>0</v>
      </c>
      <c r="K1794">
        <v>-0</v>
      </c>
    </row>
    <row r="1795" spans="1:14">
      <c r="A1795" s="1" t="s">
        <v>1807</v>
      </c>
      <c r="B1795">
        <f>HYPERLINK("https://www.suredividend.com/sure-analysis-VGR/","Vector Group Ltd")</f>
        <v>0</v>
      </c>
      <c r="C1795" t="s">
        <v>1928</v>
      </c>
      <c r="D1795">
        <v>9.15</v>
      </c>
      <c r="E1795">
        <v>0.08743169398907104</v>
      </c>
      <c r="F1795">
        <v>0</v>
      </c>
      <c r="G1795">
        <v>-0.1294494367038759</v>
      </c>
      <c r="H1795">
        <v>0.7766849877630501</v>
      </c>
      <c r="I1795">
        <v>1416.382503</v>
      </c>
      <c r="J1795">
        <v>8.825198004274329</v>
      </c>
      <c r="K1795">
        <v>0.7396999883457619</v>
      </c>
      <c r="L1795">
        <v>0.684720566589158</v>
      </c>
      <c r="M1795">
        <v>16.41</v>
      </c>
      <c r="N1795">
        <v>8.640000000000001</v>
      </c>
    </row>
    <row r="1796" spans="1:14">
      <c r="A1796" s="1" t="s">
        <v>1808</v>
      </c>
      <c r="B1796">
        <f>HYPERLINK("https://www.suredividend.com/sure-analysis-research-database/","Virnetx Holding Corp")</f>
        <v>0</v>
      </c>
      <c r="C1796" t="s">
        <v>1920</v>
      </c>
      <c r="D1796">
        <v>1.17</v>
      </c>
      <c r="E1796">
        <v>0</v>
      </c>
      <c r="H1796">
        <v>0</v>
      </c>
      <c r="I1796">
        <v>83.566841</v>
      </c>
      <c r="J1796" t="s">
        <v>1921</v>
      </c>
      <c r="K1796">
        <v>-0</v>
      </c>
      <c r="L1796">
        <v>1.211889770174847</v>
      </c>
      <c r="M1796">
        <v>4.45</v>
      </c>
      <c r="N1796">
        <v>0.9901000000000001</v>
      </c>
    </row>
    <row r="1797" spans="1:14">
      <c r="A1797" s="1" t="s">
        <v>1809</v>
      </c>
      <c r="B1797">
        <f>HYPERLINK("https://www.suredividend.com/sure-analysis-research-database/","Valhi, Inc.")</f>
        <v>0</v>
      </c>
      <c r="C1797" t="s">
        <v>1925</v>
      </c>
      <c r="D1797">
        <v>25.86</v>
      </c>
      <c r="E1797">
        <v>0.01233377342917</v>
      </c>
      <c r="F1797">
        <v>0</v>
      </c>
      <c r="G1797">
        <v>0.3195079107728942</v>
      </c>
      <c r="H1797">
        <v>0.318951380878357</v>
      </c>
      <c r="I1797">
        <v>731.307689</v>
      </c>
      <c r="J1797">
        <v>4.448343606934307</v>
      </c>
      <c r="K1797">
        <v>0.05527753568082444</v>
      </c>
      <c r="L1797">
        <v>1.028881567669439</v>
      </c>
      <c r="M1797">
        <v>53.94</v>
      </c>
      <c r="N1797">
        <v>21.93</v>
      </c>
    </row>
    <row r="1798" spans="1:14">
      <c r="A1798" s="1" t="s">
        <v>1810</v>
      </c>
      <c r="B1798">
        <f>HYPERLINK("https://www.suredividend.com/sure-analysis-VIA/","Via Renewables Inc")</f>
        <v>0</v>
      </c>
      <c r="C1798" t="s">
        <v>1921</v>
      </c>
      <c r="D1798">
        <v>6.39</v>
      </c>
      <c r="E1798">
        <v>0.1142410015649452</v>
      </c>
      <c r="F1798">
        <v>0</v>
      </c>
      <c r="G1798">
        <v>0</v>
      </c>
      <c r="H1798">
        <v>0.7104857706353711</v>
      </c>
      <c r="I1798">
        <v>101.331125</v>
      </c>
      <c r="J1798">
        <v>0</v>
      </c>
      <c r="K1798" t="s">
        <v>1921</v>
      </c>
      <c r="L1798">
        <v>0.5708808849515741</v>
      </c>
      <c r="M1798">
        <v>11.64</v>
      </c>
      <c r="N1798">
        <v>6.25</v>
      </c>
    </row>
    <row r="1799" spans="1:14">
      <c r="A1799" s="1" t="s">
        <v>1811</v>
      </c>
      <c r="B1799">
        <f>HYPERLINK("https://www.suredividend.com/sure-analysis-research-database/","Viavi Solutions Inc")</f>
        <v>0</v>
      </c>
      <c r="C1799" t="s">
        <v>1920</v>
      </c>
      <c r="D1799">
        <v>13.85</v>
      </c>
      <c r="E1799">
        <v>0</v>
      </c>
      <c r="H1799">
        <v>0</v>
      </c>
      <c r="I1799">
        <v>3136.415143</v>
      </c>
      <c r="J1799">
        <v>202.3493640612903</v>
      </c>
      <c r="K1799">
        <v>0</v>
      </c>
      <c r="L1799">
        <v>0.9729528748078691</v>
      </c>
      <c r="M1799">
        <v>18.14</v>
      </c>
      <c r="N1799">
        <v>12.65</v>
      </c>
    </row>
    <row r="1800" spans="1:14">
      <c r="A1800" s="1" t="s">
        <v>1812</v>
      </c>
      <c r="B1800">
        <f>HYPERLINK("https://www.suredividend.com/sure-analysis-research-database/","Vicor Corp.")</f>
        <v>0</v>
      </c>
      <c r="C1800" t="s">
        <v>1920</v>
      </c>
      <c r="D1800">
        <v>55.68</v>
      </c>
      <c r="E1800">
        <v>0</v>
      </c>
      <c r="H1800">
        <v>0</v>
      </c>
      <c r="I1800">
        <v>1794.321074</v>
      </c>
      <c r="J1800">
        <v>47.55561935596724</v>
      </c>
      <c r="K1800">
        <v>0</v>
      </c>
      <c r="L1800">
        <v>1.628118446108746</v>
      </c>
      <c r="M1800">
        <v>164.76</v>
      </c>
      <c r="N1800">
        <v>50.22</v>
      </c>
    </row>
    <row r="1801" spans="1:14">
      <c r="A1801" s="1" t="s">
        <v>1813</v>
      </c>
      <c r="B1801">
        <f>HYPERLINK("https://www.suredividend.com/sure-analysis-research-database/","View Inc.")</f>
        <v>0</v>
      </c>
      <c r="C1801" t="s">
        <v>1921</v>
      </c>
      <c r="D1801">
        <v>1.12</v>
      </c>
      <c r="E1801">
        <v>0</v>
      </c>
      <c r="H1801">
        <v>0</v>
      </c>
      <c r="I1801">
        <v>245.535328</v>
      </c>
      <c r="J1801">
        <v>0</v>
      </c>
      <c r="K1801" t="s">
        <v>1921</v>
      </c>
      <c r="L1801">
        <v>1.936407663332465</v>
      </c>
      <c r="M1801">
        <v>6.8</v>
      </c>
      <c r="N1801">
        <v>0.3741</v>
      </c>
    </row>
    <row r="1802" spans="1:14">
      <c r="A1802" s="1" t="s">
        <v>1814</v>
      </c>
      <c r="B1802">
        <f>HYPERLINK("https://www.suredividend.com/sure-analysis-research-database/","Vigil Neuroscience Inc")</f>
        <v>0</v>
      </c>
      <c r="C1802" t="s">
        <v>1921</v>
      </c>
      <c r="D1802">
        <v>9.35</v>
      </c>
      <c r="E1802">
        <v>0</v>
      </c>
      <c r="H1802">
        <v>0</v>
      </c>
      <c r="I1802">
        <v>264.308895</v>
      </c>
      <c r="J1802">
        <v>0</v>
      </c>
      <c r="K1802" t="s">
        <v>1921</v>
      </c>
      <c r="M1802">
        <v>18.27</v>
      </c>
      <c r="N1802">
        <v>2.18</v>
      </c>
    </row>
    <row r="1803" spans="1:14">
      <c r="A1803" s="1" t="s">
        <v>1815</v>
      </c>
      <c r="B1803">
        <f>HYPERLINK("https://www.suredividend.com/sure-analysis-research-database/","Vincerx Pharma Inc")</f>
        <v>0</v>
      </c>
      <c r="C1803" t="s">
        <v>1921</v>
      </c>
      <c r="D1803">
        <v>1.14</v>
      </c>
      <c r="E1803">
        <v>0</v>
      </c>
      <c r="H1803">
        <v>0</v>
      </c>
      <c r="I1803">
        <v>24.156337</v>
      </c>
      <c r="J1803">
        <v>0</v>
      </c>
      <c r="K1803" t="s">
        <v>1921</v>
      </c>
      <c r="L1803">
        <v>1.013340962696714</v>
      </c>
      <c r="M1803">
        <v>15.36</v>
      </c>
      <c r="N1803">
        <v>1</v>
      </c>
    </row>
    <row r="1804" spans="1:14">
      <c r="A1804" s="1" t="s">
        <v>1816</v>
      </c>
      <c r="B1804">
        <f>HYPERLINK("https://www.suredividend.com/sure-analysis-research-database/","Vir Biotechnology Inc")</f>
        <v>0</v>
      </c>
      <c r="C1804" t="s">
        <v>1922</v>
      </c>
      <c r="D1804">
        <v>21.28</v>
      </c>
      <c r="E1804">
        <v>0</v>
      </c>
      <c r="H1804">
        <v>0</v>
      </c>
      <c r="I1804">
        <v>2822.534044</v>
      </c>
      <c r="J1804">
        <v>2.618767727001976</v>
      </c>
      <c r="K1804">
        <v>0</v>
      </c>
      <c r="L1804">
        <v>1.192656426416846</v>
      </c>
      <c r="M1804">
        <v>58</v>
      </c>
      <c r="N1804">
        <v>18.05</v>
      </c>
    </row>
    <row r="1805" spans="1:14">
      <c r="A1805" s="1" t="s">
        <v>1817</v>
      </c>
      <c r="B1805">
        <f>HYPERLINK("https://www.suredividend.com/sure-analysis-research-database/","Viracta Therapeutics Inc")</f>
        <v>0</v>
      </c>
      <c r="C1805" t="s">
        <v>1921</v>
      </c>
      <c r="D1805">
        <v>4.03</v>
      </c>
      <c r="E1805">
        <v>0</v>
      </c>
      <c r="H1805">
        <v>0</v>
      </c>
      <c r="I1805">
        <v>151.359663</v>
      </c>
      <c r="J1805">
        <v>0</v>
      </c>
      <c r="K1805" t="s">
        <v>1921</v>
      </c>
      <c r="L1805">
        <v>1.564711672247627</v>
      </c>
      <c r="M1805">
        <v>7.31</v>
      </c>
      <c r="N1805">
        <v>1.82</v>
      </c>
    </row>
    <row r="1806" spans="1:14">
      <c r="A1806" s="1" t="s">
        <v>1818</v>
      </c>
      <c r="B1806">
        <f>HYPERLINK("https://www.suredividend.com/sure-analysis-research-database/","Vital Farms Inc")</f>
        <v>0</v>
      </c>
      <c r="C1806" t="s">
        <v>1921</v>
      </c>
      <c r="D1806">
        <v>12.11</v>
      </c>
      <c r="E1806">
        <v>0</v>
      </c>
      <c r="H1806">
        <v>0</v>
      </c>
      <c r="I1806">
        <v>492.6352</v>
      </c>
      <c r="J1806">
        <v>0</v>
      </c>
      <c r="K1806" t="s">
        <v>1921</v>
      </c>
      <c r="L1806">
        <v>1.010796406334322</v>
      </c>
      <c r="M1806">
        <v>20.17</v>
      </c>
      <c r="N1806">
        <v>7.89</v>
      </c>
    </row>
    <row r="1807" spans="1:14">
      <c r="A1807" s="1" t="s">
        <v>1819</v>
      </c>
      <c r="B1807">
        <f>HYPERLINK("https://www.suredividend.com/sure-analysis-research-database/","Meridian Bioscience Inc.")</f>
        <v>0</v>
      </c>
      <c r="C1807" t="s">
        <v>1922</v>
      </c>
      <c r="D1807">
        <v>31.9</v>
      </c>
      <c r="E1807">
        <v>0</v>
      </c>
      <c r="H1807">
        <v>0</v>
      </c>
      <c r="I1807">
        <v>1395.550641</v>
      </c>
      <c r="J1807">
        <v>32.14739676810025</v>
      </c>
      <c r="K1807">
        <v>0</v>
      </c>
      <c r="L1807">
        <v>0.502834185005687</v>
      </c>
      <c r="M1807">
        <v>34.38</v>
      </c>
      <c r="N1807">
        <v>17.2</v>
      </c>
    </row>
    <row r="1808" spans="1:14">
      <c r="A1808" s="1" t="s">
        <v>1820</v>
      </c>
      <c r="B1808">
        <f>HYPERLINK("https://www.suredividend.com/sure-analysis-research-database/","Viking Therapeutics Inc")</f>
        <v>0</v>
      </c>
      <c r="C1808" t="s">
        <v>1922</v>
      </c>
      <c r="D1808">
        <v>2.83</v>
      </c>
      <c r="E1808">
        <v>0</v>
      </c>
      <c r="H1808">
        <v>0</v>
      </c>
      <c r="I1808">
        <v>217.028393</v>
      </c>
      <c r="J1808">
        <v>0</v>
      </c>
      <c r="K1808" t="s">
        <v>1921</v>
      </c>
      <c r="L1808">
        <v>1.14863366203428</v>
      </c>
      <c r="M1808">
        <v>7.05</v>
      </c>
      <c r="N1808">
        <v>2.02</v>
      </c>
    </row>
    <row r="1809" spans="1:14">
      <c r="A1809" s="1" t="s">
        <v>1821</v>
      </c>
      <c r="B1809">
        <f>HYPERLINK("https://www.suredividend.com/sure-analysis-research-database/","Velodyne Lidar Inc")</f>
        <v>0</v>
      </c>
      <c r="C1809" t="s">
        <v>1921</v>
      </c>
      <c r="D1809">
        <v>0.8911</v>
      </c>
      <c r="E1809">
        <v>0</v>
      </c>
      <c r="H1809">
        <v>0</v>
      </c>
      <c r="I1809">
        <v>195.790088</v>
      </c>
      <c r="J1809">
        <v>0</v>
      </c>
      <c r="K1809" t="s">
        <v>1921</v>
      </c>
      <c r="L1809">
        <v>2.276022573470753</v>
      </c>
      <c r="M1809">
        <v>7.83</v>
      </c>
      <c r="N1809">
        <v>0.8250000000000001</v>
      </c>
    </row>
    <row r="1810" spans="1:14">
      <c r="A1810" s="1" t="s">
        <v>1822</v>
      </c>
      <c r="B1810">
        <f>HYPERLINK("https://www.suredividend.com/sure-analysis-research-database/","Village Super Market, Inc.")</f>
        <v>0</v>
      </c>
      <c r="C1810" t="s">
        <v>1928</v>
      </c>
      <c r="D1810">
        <v>19.55</v>
      </c>
      <c r="E1810">
        <v>0.050267265810364</v>
      </c>
      <c r="F1810">
        <v>0</v>
      </c>
      <c r="G1810">
        <v>0</v>
      </c>
      <c r="H1810">
        <v>0.9827250465926201</v>
      </c>
      <c r="I1810">
        <v>199.847998</v>
      </c>
      <c r="J1810">
        <v>0</v>
      </c>
      <c r="K1810" t="s">
        <v>1921</v>
      </c>
      <c r="L1810">
        <v>0.368827507664386</v>
      </c>
      <c r="M1810">
        <v>24.42</v>
      </c>
      <c r="N1810">
        <v>18.85</v>
      </c>
    </row>
    <row r="1811" spans="1:14">
      <c r="A1811" s="1" t="s">
        <v>1823</v>
      </c>
      <c r="B1811">
        <f>HYPERLINK("https://www.suredividend.com/sure-analysis-research-database/","Valley National Bancorp")</f>
        <v>0</v>
      </c>
      <c r="C1811" t="s">
        <v>1923</v>
      </c>
      <c r="D1811">
        <v>11.15</v>
      </c>
      <c r="E1811">
        <v>0.0389039693705</v>
      </c>
      <c r="F1811">
        <v>0</v>
      </c>
      <c r="G1811">
        <v>0</v>
      </c>
      <c r="H1811">
        <v>0.433779258481076</v>
      </c>
      <c r="I1811">
        <v>5645.69808</v>
      </c>
      <c r="J1811">
        <v>12.88763255328474</v>
      </c>
      <c r="K1811">
        <v>0.4346485555922605</v>
      </c>
      <c r="L1811">
        <v>0.9029889648099381</v>
      </c>
      <c r="M1811">
        <v>14.68</v>
      </c>
      <c r="N1811">
        <v>9.92</v>
      </c>
    </row>
    <row r="1812" spans="1:14">
      <c r="A1812" s="1" t="s">
        <v>1824</v>
      </c>
      <c r="B1812">
        <f>HYPERLINK("https://www.suredividend.com/sure-analysis-research-database/","Viemed Healthcare Inc")</f>
        <v>0</v>
      </c>
      <c r="C1812" t="s">
        <v>1922</v>
      </c>
      <c r="D1812">
        <v>5.81</v>
      </c>
      <c r="E1812">
        <v>0</v>
      </c>
      <c r="H1812">
        <v>0</v>
      </c>
      <c r="I1812">
        <v>230.310654</v>
      </c>
      <c r="J1812">
        <v>26.764747737362</v>
      </c>
      <c r="K1812">
        <v>0</v>
      </c>
      <c r="L1812">
        <v>0.675500311247843</v>
      </c>
      <c r="M1812">
        <v>8.06</v>
      </c>
      <c r="N1812">
        <v>3.56</v>
      </c>
    </row>
    <row r="1813" spans="1:14">
      <c r="A1813" s="1" t="s">
        <v>1825</v>
      </c>
      <c r="B1813">
        <f>HYPERLINK("https://www.suredividend.com/sure-analysis-research-database/","Vanda Pharmaceuticals Inc")</f>
        <v>0</v>
      </c>
      <c r="C1813" t="s">
        <v>1922</v>
      </c>
      <c r="D1813">
        <v>9.789999999999999</v>
      </c>
      <c r="E1813">
        <v>0</v>
      </c>
      <c r="H1813">
        <v>0</v>
      </c>
      <c r="I1813">
        <v>553.736713</v>
      </c>
      <c r="J1813">
        <v>50.37175593377604</v>
      </c>
      <c r="K1813">
        <v>0</v>
      </c>
      <c r="L1813">
        <v>0.7037081231780841</v>
      </c>
      <c r="M1813">
        <v>21.44</v>
      </c>
      <c r="N1813">
        <v>9.24</v>
      </c>
    </row>
    <row r="1814" spans="1:14">
      <c r="A1814" s="1" t="s">
        <v>1826</v>
      </c>
      <c r="B1814">
        <f>HYPERLINK("https://www.suredividend.com/sure-analysis-research-database/","Vor Biopharma Inc")</f>
        <v>0</v>
      </c>
      <c r="C1814" t="s">
        <v>1921</v>
      </c>
      <c r="D1814">
        <v>3.85</v>
      </c>
      <c r="E1814">
        <v>0</v>
      </c>
      <c r="H1814">
        <v>0</v>
      </c>
      <c r="I1814">
        <v>146.516778</v>
      </c>
      <c r="J1814">
        <v>0</v>
      </c>
      <c r="K1814" t="s">
        <v>1921</v>
      </c>
      <c r="L1814">
        <v>1.285493700382012</v>
      </c>
      <c r="M1814">
        <v>18.52</v>
      </c>
      <c r="N1814">
        <v>3.73</v>
      </c>
    </row>
    <row r="1815" spans="1:14">
      <c r="A1815" s="1" t="s">
        <v>1827</v>
      </c>
      <c r="B1815">
        <f>HYPERLINK("https://www.suredividend.com/sure-analysis-research-database/","VOXX International Corp")</f>
        <v>0</v>
      </c>
      <c r="C1815" t="s">
        <v>1927</v>
      </c>
      <c r="D1815">
        <v>7.025</v>
      </c>
      <c r="E1815">
        <v>0</v>
      </c>
      <c r="H1815">
        <v>0</v>
      </c>
      <c r="I1815">
        <v>152.273661</v>
      </c>
      <c r="J1815" t="s">
        <v>1921</v>
      </c>
      <c r="K1815">
        <v>-0</v>
      </c>
      <c r="L1815">
        <v>1.518805066220813</v>
      </c>
      <c r="M1815">
        <v>13.41</v>
      </c>
      <c r="N1815">
        <v>5.85</v>
      </c>
    </row>
    <row r="1816" spans="1:14">
      <c r="A1816" s="1" t="s">
        <v>1828</v>
      </c>
      <c r="B1816">
        <f>HYPERLINK("https://www.suredividend.com/sure-analysis-research-database/","Vishay Precision Group Inc")</f>
        <v>0</v>
      </c>
      <c r="C1816" t="s">
        <v>1920</v>
      </c>
      <c r="D1816">
        <v>31.15</v>
      </c>
      <c r="E1816">
        <v>0</v>
      </c>
      <c r="H1816">
        <v>0</v>
      </c>
      <c r="I1816">
        <v>393.145926</v>
      </c>
      <c r="J1816">
        <v>0</v>
      </c>
      <c r="K1816" t="s">
        <v>1921</v>
      </c>
      <c r="L1816">
        <v>0.7258750111530561</v>
      </c>
      <c r="M1816">
        <v>38.86</v>
      </c>
      <c r="N1816">
        <v>27.03</v>
      </c>
    </row>
    <row r="1817" spans="1:14">
      <c r="A1817" s="1" t="s">
        <v>1829</v>
      </c>
      <c r="B1817">
        <f>HYPERLINK("https://www.suredividend.com/sure-analysis-research-database/","Vera Bradley Inc")</f>
        <v>0</v>
      </c>
      <c r="C1817" t="s">
        <v>1927</v>
      </c>
      <c r="D1817">
        <v>3.04</v>
      </c>
      <c r="E1817">
        <v>0</v>
      </c>
      <c r="H1817">
        <v>0</v>
      </c>
      <c r="I1817">
        <v>94.538434</v>
      </c>
      <c r="J1817" t="s">
        <v>1921</v>
      </c>
      <c r="K1817">
        <v>-0</v>
      </c>
      <c r="L1817">
        <v>1.228023194854133</v>
      </c>
      <c r="M1817">
        <v>11.13</v>
      </c>
      <c r="N1817">
        <v>2.88</v>
      </c>
    </row>
    <row r="1818" spans="1:14">
      <c r="A1818" s="1" t="s">
        <v>1830</v>
      </c>
      <c r="B1818">
        <f>HYPERLINK("https://www.suredividend.com/sure-analysis-research-database/","ViewRay Inc.")</f>
        <v>0</v>
      </c>
      <c r="C1818" t="s">
        <v>1922</v>
      </c>
      <c r="D1818">
        <v>3.83</v>
      </c>
      <c r="E1818">
        <v>0</v>
      </c>
      <c r="H1818">
        <v>0</v>
      </c>
      <c r="I1818">
        <v>693.266634</v>
      </c>
      <c r="J1818">
        <v>0</v>
      </c>
      <c r="K1818" t="s">
        <v>1921</v>
      </c>
      <c r="L1818">
        <v>1.619324706483295</v>
      </c>
      <c r="M1818">
        <v>8.25</v>
      </c>
      <c r="N1818">
        <v>2.39</v>
      </c>
    </row>
    <row r="1819" spans="1:14">
      <c r="A1819" s="1" t="s">
        <v>1831</v>
      </c>
      <c r="B1819">
        <f>HYPERLINK("https://www.suredividend.com/sure-analysis-research-database/","Verrica Pharmaceuticals Inc")</f>
        <v>0</v>
      </c>
      <c r="C1819" t="s">
        <v>1922</v>
      </c>
      <c r="D1819">
        <v>2.41</v>
      </c>
      <c r="E1819">
        <v>0</v>
      </c>
      <c r="H1819">
        <v>0</v>
      </c>
      <c r="I1819">
        <v>99.03666800000001</v>
      </c>
      <c r="J1819">
        <v>0</v>
      </c>
      <c r="K1819" t="s">
        <v>1921</v>
      </c>
      <c r="L1819">
        <v>1.167171246639031</v>
      </c>
      <c r="M1819">
        <v>13.64</v>
      </c>
      <c r="N1819">
        <v>1.77</v>
      </c>
    </row>
    <row r="1820" spans="1:14">
      <c r="A1820" s="1" t="s">
        <v>1832</v>
      </c>
      <c r="B1820">
        <f>HYPERLINK("https://www.suredividend.com/sure-analysis-research-database/","Veris Residential Inc")</f>
        <v>0</v>
      </c>
      <c r="C1820" t="s">
        <v>1921</v>
      </c>
      <c r="D1820">
        <v>11.48</v>
      </c>
      <c r="E1820">
        <v>0</v>
      </c>
      <c r="H1820">
        <v>0</v>
      </c>
      <c r="I1820">
        <v>1045.596804</v>
      </c>
      <c r="J1820" t="s">
        <v>1921</v>
      </c>
      <c r="K1820">
        <v>-0</v>
      </c>
      <c r="L1820">
        <v>0.7791511966608441</v>
      </c>
      <c r="M1820">
        <v>19.9</v>
      </c>
      <c r="N1820">
        <v>10.22</v>
      </c>
    </row>
    <row r="1821" spans="1:14">
      <c r="A1821" s="1" t="s">
        <v>1833</v>
      </c>
      <c r="B1821">
        <f>HYPERLINK("https://www.suredividend.com/sure-analysis-research-database/","Varex Imaging Corp")</f>
        <v>0</v>
      </c>
      <c r="C1821" t="s">
        <v>1922</v>
      </c>
      <c r="D1821">
        <v>21.06</v>
      </c>
      <c r="E1821">
        <v>0</v>
      </c>
      <c r="H1821">
        <v>0</v>
      </c>
      <c r="I1821">
        <v>838.188</v>
      </c>
      <c r="J1821">
        <v>32.36247104247104</v>
      </c>
      <c r="K1821">
        <v>0</v>
      </c>
      <c r="L1821">
        <v>0.6815829873995021</v>
      </c>
      <c r="M1821">
        <v>32.65</v>
      </c>
      <c r="N1821">
        <v>18.9</v>
      </c>
    </row>
    <row r="1822" spans="1:14">
      <c r="A1822" s="1" t="s">
        <v>1834</v>
      </c>
      <c r="B1822">
        <f>HYPERLINK("https://www.suredividend.com/sure-analysis-research-database/","Varonis Systems Inc")</f>
        <v>0</v>
      </c>
      <c r="C1822" t="s">
        <v>1920</v>
      </c>
      <c r="D1822">
        <v>23.16</v>
      </c>
      <c r="E1822">
        <v>0</v>
      </c>
      <c r="H1822">
        <v>0</v>
      </c>
      <c r="I1822">
        <v>2545.062753</v>
      </c>
      <c r="J1822" t="s">
        <v>1921</v>
      </c>
      <c r="K1822">
        <v>-0</v>
      </c>
      <c r="L1822">
        <v>1.666728510793082</v>
      </c>
      <c r="M1822">
        <v>67.76000000000001</v>
      </c>
      <c r="N1822">
        <v>23.13</v>
      </c>
    </row>
    <row r="1823" spans="1:14">
      <c r="A1823" s="1" t="s">
        <v>1835</v>
      </c>
      <c r="B1823">
        <f>HYPERLINK("https://www.suredividend.com/sure-analysis-research-database/","Verint Systems, Inc.")</f>
        <v>0</v>
      </c>
      <c r="C1823" t="s">
        <v>1920</v>
      </c>
      <c r="D1823">
        <v>34.87</v>
      </c>
      <c r="E1823">
        <v>0</v>
      </c>
      <c r="H1823">
        <v>0</v>
      </c>
      <c r="I1823">
        <v>2273.785734</v>
      </c>
      <c r="J1823" t="s">
        <v>1921</v>
      </c>
      <c r="K1823">
        <v>-0</v>
      </c>
      <c r="L1823">
        <v>0.8606083167276891</v>
      </c>
      <c r="M1823">
        <v>56.39</v>
      </c>
      <c r="N1823">
        <v>33.48</v>
      </c>
    </row>
    <row r="1824" spans="1:14">
      <c r="A1824" s="1" t="s">
        <v>1836</v>
      </c>
      <c r="B1824">
        <f>HYPERLINK("https://www.suredividend.com/sure-analysis-research-database/","Verra Mobility Corp")</f>
        <v>0</v>
      </c>
      <c r="C1824" t="s">
        <v>1924</v>
      </c>
      <c r="D1824">
        <v>16</v>
      </c>
      <c r="E1824">
        <v>0</v>
      </c>
      <c r="H1824">
        <v>0</v>
      </c>
      <c r="I1824">
        <v>2450.945584</v>
      </c>
      <c r="J1824">
        <v>28.48181450966265</v>
      </c>
      <c r="K1824">
        <v>0</v>
      </c>
      <c r="L1824">
        <v>0.9174256784813141</v>
      </c>
      <c r="M1824">
        <v>18.13</v>
      </c>
      <c r="N1824">
        <v>12.7</v>
      </c>
    </row>
    <row r="1825" spans="1:14">
      <c r="A1825" s="1" t="s">
        <v>1837</v>
      </c>
      <c r="B1825">
        <f>HYPERLINK("https://www.suredividend.com/sure-analysis-research-database/","Virtus Investment Partners Inc")</f>
        <v>0</v>
      </c>
      <c r="C1825" t="s">
        <v>1923</v>
      </c>
      <c r="D1825">
        <v>156.31</v>
      </c>
      <c r="E1825">
        <v>0.037951707450604</v>
      </c>
      <c r="F1825">
        <v>0.8292682926829267</v>
      </c>
      <c r="G1825">
        <v>0.2722596365393921</v>
      </c>
      <c r="H1825">
        <v>5.932231391604062</v>
      </c>
      <c r="I1825">
        <v>1137.207926</v>
      </c>
      <c r="J1825">
        <v>7.150587136766916</v>
      </c>
      <c r="K1825">
        <v>0.2928051032381077</v>
      </c>
      <c r="L1825">
        <v>1.396725505630321</v>
      </c>
      <c r="M1825">
        <v>329.83</v>
      </c>
      <c r="N1825">
        <v>154.08</v>
      </c>
    </row>
    <row r="1826" spans="1:14">
      <c r="A1826" s="1" t="s">
        <v>1838</v>
      </c>
      <c r="B1826">
        <f>HYPERLINK("https://www.suredividend.com/sure-analysis-research-database/","Veritiv Corp")</f>
        <v>0</v>
      </c>
      <c r="C1826" t="s">
        <v>1924</v>
      </c>
      <c r="D1826">
        <v>103.4</v>
      </c>
      <c r="E1826">
        <v>0</v>
      </c>
      <c r="H1826">
        <v>0</v>
      </c>
      <c r="I1826">
        <v>1443.966421</v>
      </c>
      <c r="J1826">
        <v>0</v>
      </c>
      <c r="K1826" t="s">
        <v>1921</v>
      </c>
      <c r="L1826">
        <v>1.445286812141502</v>
      </c>
      <c r="M1826">
        <v>161.1</v>
      </c>
      <c r="N1826">
        <v>85.56999999999999</v>
      </c>
    </row>
    <row r="1827" spans="1:14">
      <c r="A1827" s="1" t="s">
        <v>1839</v>
      </c>
      <c r="B1827">
        <f>HYPERLINK("https://www.suredividend.com/sure-analysis-research-database/","VSE Corp.")</f>
        <v>0</v>
      </c>
      <c r="C1827" t="s">
        <v>1924</v>
      </c>
      <c r="D1827">
        <v>37.92</v>
      </c>
      <c r="E1827">
        <v>0.01024621207563</v>
      </c>
      <c r="F1827">
        <v>0.1111111111111112</v>
      </c>
      <c r="G1827">
        <v>0.07394092378577932</v>
      </c>
      <c r="H1827">
        <v>0.388536361907895</v>
      </c>
      <c r="I1827">
        <v>485.164444</v>
      </c>
      <c r="J1827">
        <v>16.72231221590322</v>
      </c>
      <c r="K1827">
        <v>0.1719187442070332</v>
      </c>
      <c r="L1827">
        <v>1.142606086473317</v>
      </c>
      <c r="M1827">
        <v>64.95</v>
      </c>
      <c r="N1827">
        <v>31.85</v>
      </c>
    </row>
    <row r="1828" spans="1:14">
      <c r="A1828" s="1" t="s">
        <v>1840</v>
      </c>
      <c r="B1828">
        <f>HYPERLINK("https://www.suredividend.com/sure-analysis-research-database/","Vishay Intertechnology, Inc.")</f>
        <v>0</v>
      </c>
      <c r="C1828" t="s">
        <v>1920</v>
      </c>
      <c r="D1828">
        <v>18.42</v>
      </c>
      <c r="E1828">
        <v>0.021544040009361</v>
      </c>
      <c r="F1828">
        <v>0.05263157894736836</v>
      </c>
      <c r="G1828">
        <v>0.08178074106640287</v>
      </c>
      <c r="H1828">
        <v>0.396841216972441</v>
      </c>
      <c r="I1828">
        <v>2407.131476</v>
      </c>
      <c r="J1828">
        <v>6.89122219035568</v>
      </c>
      <c r="K1828">
        <v>0.1653505070718504</v>
      </c>
      <c r="L1828">
        <v>1.087366781927414</v>
      </c>
      <c r="M1828">
        <v>22.35</v>
      </c>
      <c r="N1828">
        <v>16.64</v>
      </c>
    </row>
    <row r="1829" spans="1:14">
      <c r="A1829" s="1" t="s">
        <v>1841</v>
      </c>
      <c r="B1829">
        <f>HYPERLINK("https://www.suredividend.com/sure-analysis-research-database/","Verastem Inc")</f>
        <v>0</v>
      </c>
      <c r="C1829" t="s">
        <v>1922</v>
      </c>
      <c r="D1829">
        <v>0.4825</v>
      </c>
      <c r="E1829">
        <v>0</v>
      </c>
      <c r="H1829">
        <v>0</v>
      </c>
      <c r="I1829">
        <v>90.617152</v>
      </c>
      <c r="J1829">
        <v>0</v>
      </c>
      <c r="K1829" t="s">
        <v>1921</v>
      </c>
      <c r="L1829">
        <v>1.338347010364578</v>
      </c>
      <c r="M1829">
        <v>3.3</v>
      </c>
      <c r="N1829">
        <v>0.4706</v>
      </c>
    </row>
    <row r="1830" spans="1:14">
      <c r="A1830" s="1" t="s">
        <v>1842</v>
      </c>
      <c r="B1830">
        <f>HYPERLINK("https://www.suredividend.com/sure-analysis-research-database/","Vista Outdoor Inc")</f>
        <v>0</v>
      </c>
      <c r="C1830" t="s">
        <v>1927</v>
      </c>
      <c r="D1830">
        <v>25.35</v>
      </c>
      <c r="E1830">
        <v>0</v>
      </c>
      <c r="H1830">
        <v>0</v>
      </c>
      <c r="I1830">
        <v>1433.037629</v>
      </c>
      <c r="J1830">
        <v>2.886186204271363</v>
      </c>
      <c r="K1830">
        <v>0</v>
      </c>
      <c r="L1830">
        <v>1.134452650189067</v>
      </c>
      <c r="M1830">
        <v>52.69</v>
      </c>
      <c r="N1830">
        <v>23.8</v>
      </c>
    </row>
    <row r="1831" spans="1:14">
      <c r="A1831" s="1" t="s">
        <v>1843</v>
      </c>
      <c r="B1831">
        <f>HYPERLINK("https://www.suredividend.com/sure-analysis-research-database/","VistaGen Therapeutics Inc")</f>
        <v>0</v>
      </c>
      <c r="C1831" t="s">
        <v>1922</v>
      </c>
      <c r="D1831">
        <v>0.129</v>
      </c>
      <c r="E1831">
        <v>0</v>
      </c>
      <c r="H1831">
        <v>0</v>
      </c>
      <c r="I1831">
        <v>26.681889</v>
      </c>
      <c r="J1831">
        <v>0</v>
      </c>
      <c r="K1831" t="s">
        <v>1921</v>
      </c>
      <c r="L1831">
        <v>1.656711779240618</v>
      </c>
      <c r="M1831">
        <v>2.62</v>
      </c>
      <c r="N1831">
        <v>0.1263</v>
      </c>
    </row>
    <row r="1832" spans="1:14">
      <c r="A1832" s="1" t="s">
        <v>1844</v>
      </c>
      <c r="B1832">
        <f>HYPERLINK("https://www.suredividend.com/sure-analysis-research-database/","Bristow Group Inc.")</f>
        <v>0</v>
      </c>
      <c r="C1832" t="s">
        <v>1921</v>
      </c>
      <c r="D1832">
        <v>24.52</v>
      </c>
      <c r="E1832">
        <v>0</v>
      </c>
      <c r="H1832">
        <v>0</v>
      </c>
      <c r="I1832">
        <v>684.994766</v>
      </c>
      <c r="J1832">
        <v>286.2493797743418</v>
      </c>
      <c r="K1832">
        <v>0</v>
      </c>
      <c r="L1832">
        <v>0.956386197084605</v>
      </c>
      <c r="M1832">
        <v>40.1</v>
      </c>
      <c r="N1832">
        <v>21.61</v>
      </c>
    </row>
    <row r="1833" spans="1:14">
      <c r="A1833" s="1" t="s">
        <v>1845</v>
      </c>
      <c r="B1833">
        <f>HYPERLINK("https://www.suredividend.com/sure-analysis-research-database/","Ventyx Biosciences Inc")</f>
        <v>0</v>
      </c>
      <c r="C1833" t="s">
        <v>1921</v>
      </c>
      <c r="D1833">
        <v>33.49</v>
      </c>
      <c r="E1833">
        <v>0</v>
      </c>
      <c r="H1833">
        <v>0</v>
      </c>
      <c r="I1833">
        <v>1893.097368</v>
      </c>
      <c r="J1833">
        <v>0</v>
      </c>
      <c r="K1833" t="s">
        <v>1921</v>
      </c>
      <c r="M1833">
        <v>41.29</v>
      </c>
      <c r="N1833">
        <v>9.5</v>
      </c>
    </row>
    <row r="1834" spans="1:14">
      <c r="A1834" s="1" t="s">
        <v>1846</v>
      </c>
      <c r="B1834">
        <f>HYPERLINK("https://www.suredividend.com/sure-analysis-research-database/","Vuzix Corporation")</f>
        <v>0</v>
      </c>
      <c r="C1834" t="s">
        <v>1920</v>
      </c>
      <c r="D1834">
        <v>5.08</v>
      </c>
      <c r="E1834">
        <v>0</v>
      </c>
      <c r="H1834">
        <v>0</v>
      </c>
      <c r="I1834">
        <v>325.074051</v>
      </c>
      <c r="J1834">
        <v>0</v>
      </c>
      <c r="K1834" t="s">
        <v>1921</v>
      </c>
      <c r="L1834">
        <v>2.197282953519571</v>
      </c>
      <c r="M1834">
        <v>16.2</v>
      </c>
      <c r="N1834">
        <v>3.88</v>
      </c>
    </row>
    <row r="1835" spans="1:14">
      <c r="A1835" s="1" t="s">
        <v>1847</v>
      </c>
      <c r="B1835">
        <f>HYPERLINK("https://www.suredividend.com/sure-analysis-research-database/","Viad Corp.")</f>
        <v>0</v>
      </c>
      <c r="C1835" t="s">
        <v>1924</v>
      </c>
      <c r="D1835">
        <v>33.58</v>
      </c>
      <c r="E1835">
        <v>0</v>
      </c>
      <c r="H1835">
        <v>0</v>
      </c>
      <c r="I1835">
        <v>692.461374</v>
      </c>
      <c r="J1835" t="s">
        <v>1921</v>
      </c>
      <c r="K1835">
        <v>-0</v>
      </c>
      <c r="L1835">
        <v>1.312067396216262</v>
      </c>
      <c r="M1835">
        <v>52.73</v>
      </c>
      <c r="N1835">
        <v>25.18</v>
      </c>
    </row>
    <row r="1836" spans="1:14">
      <c r="A1836" s="1" t="s">
        <v>1848</v>
      </c>
      <c r="B1836">
        <f>HYPERLINK("https://www.suredividend.com/sure-analysis-research-database/","Vivint Smart Home Inc")</f>
        <v>0</v>
      </c>
      <c r="C1836" t="s">
        <v>1924</v>
      </c>
      <c r="D1836">
        <v>6.24</v>
      </c>
      <c r="E1836">
        <v>0</v>
      </c>
      <c r="H1836">
        <v>0</v>
      </c>
      <c r="I1836">
        <v>1326.431377</v>
      </c>
      <c r="J1836">
        <v>0</v>
      </c>
      <c r="K1836" t="s">
        <v>1921</v>
      </c>
      <c r="L1836">
        <v>1.841314501616766</v>
      </c>
      <c r="M1836">
        <v>13.29</v>
      </c>
      <c r="N1836">
        <v>3.26</v>
      </c>
    </row>
    <row r="1837" spans="1:14">
      <c r="A1837" s="1" t="s">
        <v>1849</v>
      </c>
      <c r="B1837">
        <f>HYPERLINK("https://www.suredividend.com/sure-analysis-research-database/","Vaxart Inc")</f>
        <v>0</v>
      </c>
      <c r="C1837" t="s">
        <v>1922</v>
      </c>
      <c r="D1837">
        <v>1.82</v>
      </c>
      <c r="E1837">
        <v>0</v>
      </c>
      <c r="H1837">
        <v>0</v>
      </c>
      <c r="I1837">
        <v>230.241482</v>
      </c>
      <c r="J1837" t="s">
        <v>1921</v>
      </c>
      <c r="K1837">
        <v>-0</v>
      </c>
      <c r="L1837">
        <v>2.011038515879538</v>
      </c>
      <c r="M1837">
        <v>8.130000000000001</v>
      </c>
      <c r="N1837">
        <v>1.8</v>
      </c>
    </row>
    <row r="1838" spans="1:14">
      <c r="A1838" s="1" t="s">
        <v>1850</v>
      </c>
      <c r="B1838">
        <f>HYPERLINK("https://www.suredividend.com/sure-analysis-WABC/","Westamerica Bancorporation")</f>
        <v>0</v>
      </c>
      <c r="C1838" t="s">
        <v>1923</v>
      </c>
      <c r="D1838">
        <v>52.61</v>
      </c>
      <c r="E1838">
        <v>0.03193309256795286</v>
      </c>
      <c r="F1838">
        <v>0.02439024390243882</v>
      </c>
      <c r="G1838">
        <v>0.009805797673485328</v>
      </c>
      <c r="H1838">
        <v>1.66205588805323</v>
      </c>
      <c r="I1838">
        <v>1415.768086</v>
      </c>
      <c r="J1838">
        <v>15.43694008995453</v>
      </c>
      <c r="K1838">
        <v>0.4874064187839384</v>
      </c>
      <c r="L1838">
        <v>0.391981919577911</v>
      </c>
      <c r="M1838">
        <v>62.53</v>
      </c>
      <c r="N1838">
        <v>52.04</v>
      </c>
    </row>
    <row r="1839" spans="1:14">
      <c r="A1839" s="1" t="s">
        <v>1851</v>
      </c>
      <c r="B1839">
        <f>HYPERLINK("https://www.suredividend.com/sure-analysis-WAFD/","Washington Federal Inc.")</f>
        <v>0</v>
      </c>
      <c r="C1839" t="s">
        <v>1923</v>
      </c>
      <c r="D1839">
        <v>31.46</v>
      </c>
      <c r="E1839">
        <v>0.0305149396058487</v>
      </c>
      <c r="F1839">
        <v>0.04347826086956519</v>
      </c>
      <c r="G1839">
        <v>0.09856054330611785</v>
      </c>
      <c r="H1839">
        <v>0.9400573212052741</v>
      </c>
      <c r="I1839">
        <v>2055.101408</v>
      </c>
      <c r="J1839">
        <v>10.24058664135299</v>
      </c>
      <c r="K1839">
        <v>0.3082155151492702</v>
      </c>
      <c r="L1839">
        <v>0.692408199222034</v>
      </c>
      <c r="M1839">
        <v>37.26</v>
      </c>
      <c r="N1839">
        <v>29.26</v>
      </c>
    </row>
    <row r="1840" spans="1:14">
      <c r="A1840" s="1" t="s">
        <v>1852</v>
      </c>
      <c r="B1840">
        <f>HYPERLINK("https://www.suredividend.com/sure-analysis-WASH/","Washington Trust Bancorp, Inc.")</f>
        <v>0</v>
      </c>
      <c r="C1840" t="s">
        <v>1923</v>
      </c>
      <c r="D1840">
        <v>47.11</v>
      </c>
      <c r="E1840">
        <v>0.04585013797495224</v>
      </c>
      <c r="F1840">
        <v>0.03846153846153855</v>
      </c>
      <c r="G1840">
        <v>0.06724918187953888</v>
      </c>
      <c r="H1840">
        <v>2.124384783543119</v>
      </c>
      <c r="I1840">
        <v>808.932735</v>
      </c>
      <c r="J1840">
        <v>10.76381162654851</v>
      </c>
      <c r="K1840">
        <v>0.4940429729170044</v>
      </c>
      <c r="L1840">
        <v>0.473798710540713</v>
      </c>
      <c r="M1840">
        <v>59</v>
      </c>
      <c r="N1840">
        <v>44.58</v>
      </c>
    </row>
    <row r="1841" spans="1:14">
      <c r="A1841" s="1" t="s">
        <v>1853</v>
      </c>
      <c r="B1841">
        <f>HYPERLINK("https://www.suredividend.com/sure-analysis-research-database/","Welbilt Inc")</f>
        <v>0</v>
      </c>
      <c r="C1841" t="s">
        <v>1924</v>
      </c>
      <c r="D1841">
        <v>24.01</v>
      </c>
      <c r="E1841">
        <v>0</v>
      </c>
      <c r="H1841">
        <v>0</v>
      </c>
      <c r="I1841">
        <v>3437.755786</v>
      </c>
      <c r="J1841">
        <v>52.64557099019908</v>
      </c>
      <c r="K1841">
        <v>0</v>
      </c>
      <c r="L1841">
        <v>0.074023481239715</v>
      </c>
      <c r="M1841">
        <v>24.01</v>
      </c>
      <c r="N1841">
        <v>22.9</v>
      </c>
    </row>
    <row r="1842" spans="1:14">
      <c r="A1842" s="1" t="s">
        <v>1854</v>
      </c>
      <c r="B1842">
        <f>HYPERLINK("https://www.suredividend.com/sure-analysis-research-database/","Wesco International, Inc.")</f>
        <v>0</v>
      </c>
      <c r="C1842" t="s">
        <v>1924</v>
      </c>
      <c r="D1842">
        <v>123.21</v>
      </c>
      <c r="E1842">
        <v>0</v>
      </c>
      <c r="H1842">
        <v>0</v>
      </c>
      <c r="I1842">
        <v>6248.678317</v>
      </c>
      <c r="J1842">
        <v>9.894194152086136</v>
      </c>
      <c r="K1842">
        <v>0</v>
      </c>
      <c r="L1842">
        <v>1.414062729992863</v>
      </c>
      <c r="M1842">
        <v>147.05</v>
      </c>
      <c r="N1842">
        <v>99</v>
      </c>
    </row>
    <row r="1843" spans="1:14">
      <c r="A1843" s="1" t="s">
        <v>1855</v>
      </c>
      <c r="B1843">
        <f>HYPERLINK("https://www.suredividend.com/sure-analysis-research-database/","Walker &amp; Dunlop Inc")</f>
        <v>0</v>
      </c>
      <c r="C1843" t="s">
        <v>1923</v>
      </c>
      <c r="D1843">
        <v>84.95</v>
      </c>
      <c r="E1843">
        <v>0.026871427544125</v>
      </c>
      <c r="H1843">
        <v>2.282727769873466</v>
      </c>
      <c r="I1843">
        <v>2805.921097</v>
      </c>
      <c r="J1843">
        <v>10.39703678601734</v>
      </c>
      <c r="K1843">
        <v>0.2695074108469263</v>
      </c>
      <c r="L1843">
        <v>1.10023865503704</v>
      </c>
      <c r="M1843">
        <v>154.39</v>
      </c>
      <c r="N1843">
        <v>82.43000000000001</v>
      </c>
    </row>
    <row r="1844" spans="1:14">
      <c r="A1844" s="1" t="s">
        <v>1856</v>
      </c>
      <c r="B1844">
        <f>HYPERLINK("https://www.suredividend.com/sure-analysis-WDFC/","WD-40 Co.")</f>
        <v>0</v>
      </c>
      <c r="C1844" t="s">
        <v>1925</v>
      </c>
      <c r="D1844">
        <v>173.23</v>
      </c>
      <c r="E1844">
        <v>0.01801073717023611</v>
      </c>
      <c r="F1844">
        <v>0.08333333333333348</v>
      </c>
      <c r="G1844">
        <v>0.09743726841698619</v>
      </c>
      <c r="H1844">
        <v>3.041028638371301</v>
      </c>
      <c r="I1844">
        <v>2360.681604</v>
      </c>
      <c r="J1844">
        <v>38.87239382222661</v>
      </c>
      <c r="K1844">
        <v>0.6864624465849438</v>
      </c>
      <c r="L1844">
        <v>0.541343192425325</v>
      </c>
      <c r="M1844">
        <v>253.07</v>
      </c>
      <c r="N1844">
        <v>163.26</v>
      </c>
    </row>
    <row r="1845" spans="1:14">
      <c r="A1845" s="1" t="s">
        <v>1857</v>
      </c>
      <c r="B1845">
        <f>HYPERLINK("https://www.suredividend.com/sure-analysis-research-database/","Weber Inc")</f>
        <v>0</v>
      </c>
      <c r="C1845" t="s">
        <v>1921</v>
      </c>
      <c r="D1845">
        <v>7.35</v>
      </c>
      <c r="E1845">
        <v>0.010856631131689</v>
      </c>
      <c r="H1845">
        <v>0.079796238817918</v>
      </c>
      <c r="I1845">
        <v>390.091548</v>
      </c>
      <c r="J1845">
        <v>8.173564681724846</v>
      </c>
      <c r="K1845">
        <v>0.08658446052291449</v>
      </c>
      <c r="L1845">
        <v>1.151261028405253</v>
      </c>
      <c r="M1845">
        <v>18.21</v>
      </c>
      <c r="N1845">
        <v>5.69</v>
      </c>
    </row>
    <row r="1846" spans="1:14">
      <c r="A1846" s="1" t="s">
        <v>1858</v>
      </c>
      <c r="B1846">
        <f>HYPERLINK("https://www.suredividend.com/sure-analysis-research-database/","Werner Enterprises, Inc.")</f>
        <v>0</v>
      </c>
      <c r="C1846" t="s">
        <v>1924</v>
      </c>
      <c r="D1846">
        <v>38.65</v>
      </c>
      <c r="E1846">
        <v>0.012873892290445</v>
      </c>
      <c r="F1846">
        <v>0.08333333333333348</v>
      </c>
      <c r="G1846">
        <v>0.1317983656310018</v>
      </c>
      <c r="H1846">
        <v>0.497575937025712</v>
      </c>
      <c r="I1846">
        <v>2451.107517</v>
      </c>
      <c r="J1846">
        <v>9.195089851894643</v>
      </c>
      <c r="K1846">
        <v>0.1240837748193796</v>
      </c>
      <c r="L1846">
        <v>0.679464401697221</v>
      </c>
      <c r="M1846">
        <v>48.31</v>
      </c>
      <c r="N1846">
        <v>35.93</v>
      </c>
    </row>
    <row r="1847" spans="1:14">
      <c r="A1847" s="1" t="s">
        <v>1859</v>
      </c>
      <c r="B1847">
        <f>HYPERLINK("https://www.suredividend.com/sure-analysis-research-database/","Wisdomtree Investments Inc")</f>
        <v>0</v>
      </c>
      <c r="C1847" t="s">
        <v>1923</v>
      </c>
      <c r="D1847">
        <v>4.78</v>
      </c>
      <c r="E1847">
        <v>0.024896757864987</v>
      </c>
      <c r="F1847">
        <v>0</v>
      </c>
      <c r="G1847">
        <v>-0.1781240852413871</v>
      </c>
      <c r="H1847">
        <v>0.11900650259464</v>
      </c>
      <c r="I1847">
        <v>700.676066</v>
      </c>
      <c r="J1847">
        <v>61.43586723191584</v>
      </c>
      <c r="K1847">
        <v>1.616936176557609</v>
      </c>
      <c r="L1847">
        <v>0.9672622283705991</v>
      </c>
      <c r="M1847">
        <v>6.81</v>
      </c>
      <c r="N1847">
        <v>4.61</v>
      </c>
    </row>
    <row r="1848" spans="1:14">
      <c r="A1848" s="1" t="s">
        <v>1860</v>
      </c>
      <c r="B1848">
        <f>HYPERLINK("https://www.suredividend.com/sure-analysis-WGO/","Winnebago Industries, Inc.")</f>
        <v>0</v>
      </c>
      <c r="C1848" t="s">
        <v>1927</v>
      </c>
      <c r="D1848">
        <v>55.66</v>
      </c>
      <c r="E1848">
        <v>0.01940352137980597</v>
      </c>
      <c r="F1848">
        <v>0.5000000000000002</v>
      </c>
      <c r="G1848">
        <v>0.2197554094669347</v>
      </c>
      <c r="H1848">
        <v>0.8057333073782961</v>
      </c>
      <c r="I1848">
        <v>1767.427529</v>
      </c>
      <c r="J1848">
        <v>4.507455851083363</v>
      </c>
      <c r="K1848">
        <v>0.06928059392762649</v>
      </c>
      <c r="L1848">
        <v>1.155230265452241</v>
      </c>
      <c r="M1848">
        <v>77.81</v>
      </c>
      <c r="N1848">
        <v>42.7</v>
      </c>
    </row>
    <row r="1849" spans="1:14">
      <c r="A1849" s="1" t="s">
        <v>1861</v>
      </c>
      <c r="B1849">
        <f>HYPERLINK("https://www.suredividend.com/sure-analysis-research-database/","Cactus Inc")</f>
        <v>0</v>
      </c>
      <c r="C1849" t="s">
        <v>1926</v>
      </c>
      <c r="D1849">
        <v>41.45</v>
      </c>
      <c r="E1849">
        <v>0.010338767585254</v>
      </c>
      <c r="H1849">
        <v>0.428541916408806</v>
      </c>
      <c r="I1849">
        <v>2505.724872</v>
      </c>
      <c r="J1849">
        <v>33.23198461160992</v>
      </c>
      <c r="K1849">
        <v>0.4335713439991967</v>
      </c>
      <c r="L1849">
        <v>0.966542371759545</v>
      </c>
      <c r="M1849">
        <v>63.89</v>
      </c>
      <c r="N1849">
        <v>34.64</v>
      </c>
    </row>
    <row r="1850" spans="1:14">
      <c r="A1850" s="1" t="s">
        <v>1862</v>
      </c>
      <c r="B1850">
        <f>HYPERLINK("https://www.suredividend.com/sure-analysis-research-database/","Winmark Corporation")</f>
        <v>0</v>
      </c>
      <c r="C1850" t="s">
        <v>1927</v>
      </c>
      <c r="D1850">
        <v>219.22</v>
      </c>
      <c r="E1850">
        <v>0.010451951332013</v>
      </c>
      <c r="F1850">
        <v>-0.9066666666666666</v>
      </c>
      <c r="G1850">
        <v>0.3608221078587388</v>
      </c>
      <c r="H1850">
        <v>2.291276771004081</v>
      </c>
      <c r="I1850">
        <v>753.613032</v>
      </c>
      <c r="J1850">
        <v>18.58423505198366</v>
      </c>
      <c r="K1850">
        <v>0.2092490201830211</v>
      </c>
      <c r="L1850">
        <v>0.7989584484981831</v>
      </c>
      <c r="M1850">
        <v>275.68</v>
      </c>
      <c r="N1850">
        <v>183.37</v>
      </c>
    </row>
    <row r="1851" spans="1:14">
      <c r="A1851" s="1" t="s">
        <v>1863</v>
      </c>
      <c r="B1851">
        <f>HYPERLINK("https://www.suredividend.com/sure-analysis-research-database/","Wingstop Inc")</f>
        <v>0</v>
      </c>
      <c r="C1851" t="s">
        <v>1927</v>
      </c>
      <c r="D1851">
        <v>130.93</v>
      </c>
      <c r="E1851">
        <v>0.00524568681876</v>
      </c>
      <c r="F1851">
        <v>0.1176470588235294</v>
      </c>
      <c r="G1851">
        <v>0.1611871423331621</v>
      </c>
      <c r="H1851">
        <v>0.6868177751802621</v>
      </c>
      <c r="I1851">
        <v>3916.688202</v>
      </c>
      <c r="J1851">
        <v>97.50524539420948</v>
      </c>
      <c r="K1851">
        <v>0.5125505784927329</v>
      </c>
      <c r="L1851">
        <v>1.526254073666086</v>
      </c>
      <c r="M1851">
        <v>171.77</v>
      </c>
      <c r="N1851">
        <v>67.58</v>
      </c>
    </row>
    <row r="1852" spans="1:14">
      <c r="A1852" s="1" t="s">
        <v>1864</v>
      </c>
      <c r="B1852">
        <f>HYPERLINK("https://www.suredividend.com/sure-analysis-research-database/","Encore Wire Corp.")</f>
        <v>0</v>
      </c>
      <c r="C1852" t="s">
        <v>1924</v>
      </c>
      <c r="D1852">
        <v>131.9</v>
      </c>
      <c r="E1852">
        <v>0.000606363045343</v>
      </c>
      <c r="F1852">
        <v>0</v>
      </c>
      <c r="G1852">
        <v>0</v>
      </c>
      <c r="H1852">
        <v>0.07997928568078701</v>
      </c>
      <c r="I1852">
        <v>2522.662155</v>
      </c>
      <c r="J1852">
        <v>3.660015691571552</v>
      </c>
      <c r="K1852">
        <v>0.002352331931787853</v>
      </c>
      <c r="L1852">
        <v>1.293664681525221</v>
      </c>
      <c r="M1852">
        <v>151.54</v>
      </c>
      <c r="N1852">
        <v>94.37</v>
      </c>
    </row>
    <row r="1853" spans="1:14">
      <c r="A1853" s="1" t="s">
        <v>1865</v>
      </c>
      <c r="B1853">
        <f>HYPERLINK("https://www.suredividend.com/sure-analysis-research-database/","Workiva Inc")</f>
        <v>0</v>
      </c>
      <c r="C1853" t="s">
        <v>1920</v>
      </c>
      <c r="D1853">
        <v>73.05</v>
      </c>
      <c r="E1853">
        <v>0</v>
      </c>
      <c r="H1853">
        <v>0</v>
      </c>
      <c r="I1853">
        <v>3539.726506</v>
      </c>
      <c r="J1853" t="s">
        <v>1921</v>
      </c>
      <c r="K1853">
        <v>-0</v>
      </c>
      <c r="L1853">
        <v>1.619556699326222</v>
      </c>
      <c r="M1853">
        <v>173.24</v>
      </c>
      <c r="N1853">
        <v>59.43</v>
      </c>
    </row>
    <row r="1854" spans="1:14">
      <c r="A1854" s="1" t="s">
        <v>1866</v>
      </c>
      <c r="B1854">
        <f>HYPERLINK("https://www.suredividend.com/sure-analysis-research-database/","Workhorse Group Inc")</f>
        <v>0</v>
      </c>
      <c r="C1854" t="s">
        <v>1927</v>
      </c>
      <c r="D1854">
        <v>2.31</v>
      </c>
      <c r="E1854">
        <v>0</v>
      </c>
      <c r="H1854">
        <v>0</v>
      </c>
      <c r="I1854">
        <v>378.241518</v>
      </c>
      <c r="J1854">
        <v>0</v>
      </c>
      <c r="K1854" t="s">
        <v>1921</v>
      </c>
      <c r="L1854">
        <v>2.10651472418581</v>
      </c>
      <c r="M1854">
        <v>7.8</v>
      </c>
      <c r="N1854">
        <v>2.11</v>
      </c>
    </row>
    <row r="1855" spans="1:14">
      <c r="A1855" s="1" t="s">
        <v>1867</v>
      </c>
      <c r="B1855">
        <f>HYPERLINK("https://www.suredividend.com/sure-analysis-research-database/","Willdan Group Inc")</f>
        <v>0</v>
      </c>
      <c r="C1855" t="s">
        <v>1924</v>
      </c>
      <c r="D1855">
        <v>13.35</v>
      </c>
      <c r="E1855">
        <v>0</v>
      </c>
      <c r="H1855">
        <v>0</v>
      </c>
      <c r="I1855">
        <v>177.316476</v>
      </c>
      <c r="J1855">
        <v>0</v>
      </c>
      <c r="K1855" t="s">
        <v>1921</v>
      </c>
      <c r="L1855">
        <v>1.025640715741229</v>
      </c>
      <c r="M1855">
        <v>43.22</v>
      </c>
      <c r="N1855">
        <v>13.15</v>
      </c>
    </row>
    <row r="1856" spans="1:14">
      <c r="A1856" s="1" t="s">
        <v>1868</v>
      </c>
      <c r="B1856">
        <f>HYPERLINK("https://www.suredividend.com/sure-analysis-research-database/","Willis Lease Finance Corp.")</f>
        <v>0</v>
      </c>
      <c r="C1856" t="s">
        <v>1924</v>
      </c>
      <c r="D1856">
        <v>36.02</v>
      </c>
      <c r="E1856">
        <v>0</v>
      </c>
      <c r="H1856">
        <v>0</v>
      </c>
      <c r="I1856">
        <v>219.614804</v>
      </c>
      <c r="J1856">
        <v>0</v>
      </c>
      <c r="K1856" t="s">
        <v>1921</v>
      </c>
      <c r="L1856">
        <v>0.5839587819758241</v>
      </c>
      <c r="M1856">
        <v>43.38</v>
      </c>
      <c r="N1856">
        <v>30.22</v>
      </c>
    </row>
    <row r="1857" spans="1:14">
      <c r="A1857" s="1" t="s">
        <v>1869</v>
      </c>
      <c r="B1857">
        <f>HYPERLINK("https://www.suredividend.com/sure-analysis-research-database/","Whiting Petroleum Corp")</f>
        <v>0</v>
      </c>
      <c r="C1857" t="s">
        <v>1926</v>
      </c>
      <c r="D1857">
        <v>68.03</v>
      </c>
      <c r="E1857">
        <v>0.007337216789287001</v>
      </c>
      <c r="H1857">
        <v>0.499150858175248</v>
      </c>
      <c r="I1857">
        <v>2669.620947</v>
      </c>
      <c r="J1857" t="s">
        <v>1921</v>
      </c>
      <c r="K1857" t="s">
        <v>1921</v>
      </c>
      <c r="L1857">
        <v>1.019783848772831</v>
      </c>
      <c r="M1857">
        <v>101.74</v>
      </c>
      <c r="N1857">
        <v>38.14</v>
      </c>
    </row>
    <row r="1858" spans="1:14">
      <c r="A1858" s="1" t="s">
        <v>1870</v>
      </c>
      <c r="B1858">
        <f>HYPERLINK("https://www.suredividend.com/sure-analysis-research-database/","Chord Energy Corp")</f>
        <v>0</v>
      </c>
      <c r="C1858" t="s">
        <v>1921</v>
      </c>
      <c r="D1858">
        <v>11.76</v>
      </c>
      <c r="E1858">
        <v>0</v>
      </c>
      <c r="H1858">
        <v>0</v>
      </c>
      <c r="I1858">
        <v>1326.000748</v>
      </c>
      <c r="J1858">
        <v>0</v>
      </c>
      <c r="K1858" t="s">
        <v>1921</v>
      </c>
      <c r="M1858">
        <v>6.88</v>
      </c>
      <c r="N1858">
        <v>0.3</v>
      </c>
    </row>
    <row r="1859" spans="1:14">
      <c r="A1859" s="1" t="s">
        <v>1871</v>
      </c>
      <c r="B1859">
        <f>HYPERLINK("https://www.suredividend.com/sure-analysis-research-database/","Chord Energy Corp")</f>
        <v>0</v>
      </c>
      <c r="C1859" t="s">
        <v>1921</v>
      </c>
      <c r="D1859">
        <v>9.300000000000001</v>
      </c>
      <c r="E1859">
        <v>0</v>
      </c>
      <c r="H1859">
        <v>0</v>
      </c>
      <c r="I1859">
        <v>1326.000748</v>
      </c>
      <c r="J1859">
        <v>0</v>
      </c>
      <c r="K1859" t="s">
        <v>1921</v>
      </c>
      <c r="M1859">
        <v>9</v>
      </c>
      <c r="N1859">
        <v>1.4</v>
      </c>
    </row>
    <row r="1860" spans="1:14">
      <c r="A1860" s="1" t="s">
        <v>1872</v>
      </c>
      <c r="B1860">
        <f>HYPERLINK("https://www.suredividend.com/sure-analysis-WLY/","John Wiley &amp; Sons Inc.")</f>
        <v>0</v>
      </c>
      <c r="C1860" t="s">
        <v>1921</v>
      </c>
      <c r="D1860">
        <v>37.14</v>
      </c>
      <c r="E1860">
        <v>0.03742595584275713</v>
      </c>
      <c r="H1860">
        <v>1.378746047674893</v>
      </c>
      <c r="I1860">
        <v>2078.72943</v>
      </c>
      <c r="J1860">
        <v>17.82114322348342</v>
      </c>
      <c r="K1860">
        <v>0.6660608925965666</v>
      </c>
      <c r="L1860">
        <v>0.7244623653542821</v>
      </c>
      <c r="M1860">
        <v>58.2</v>
      </c>
      <c r="N1860">
        <v>36.9</v>
      </c>
    </row>
    <row r="1861" spans="1:14">
      <c r="A1861" s="1" t="s">
        <v>1873</v>
      </c>
      <c r="B1861">
        <f>HYPERLINK("https://www.suredividend.com/sure-analysis-research-database/","Weis Markets, Inc.")</f>
        <v>0</v>
      </c>
      <c r="C1861" t="s">
        <v>1928</v>
      </c>
      <c r="D1861">
        <v>76.94</v>
      </c>
      <c r="E1861">
        <v>0.01652994013255</v>
      </c>
      <c r="F1861">
        <v>0.032258064516129</v>
      </c>
      <c r="G1861">
        <v>0.01299136822423641</v>
      </c>
      <c r="H1861">
        <v>1.271813593798454</v>
      </c>
      <c r="I1861">
        <v>2069.566204</v>
      </c>
      <c r="J1861">
        <v>17.42396427271273</v>
      </c>
      <c r="K1861">
        <v>0.2877406320810982</v>
      </c>
      <c r="L1861">
        <v>0.388506617690827</v>
      </c>
      <c r="M1861">
        <v>86.05</v>
      </c>
      <c r="N1861">
        <v>51.43</v>
      </c>
    </row>
    <row r="1862" spans="1:14">
      <c r="A1862" s="1" t="s">
        <v>1874</v>
      </c>
      <c r="B1862">
        <f>HYPERLINK("https://www.suredividend.com/sure-analysis-research-database/","Wabash National Corp.")</f>
        <v>0</v>
      </c>
      <c r="C1862" t="s">
        <v>1924</v>
      </c>
      <c r="D1862">
        <v>16.02</v>
      </c>
      <c r="E1862">
        <v>0.019815839022091</v>
      </c>
      <c r="F1862">
        <v>0</v>
      </c>
      <c r="G1862">
        <v>0.01299136822423641</v>
      </c>
      <c r="H1862">
        <v>0.317449741133905</v>
      </c>
      <c r="I1862">
        <v>777.77768</v>
      </c>
      <c r="J1862">
        <v>37.92557442656524</v>
      </c>
      <c r="K1862">
        <v>0.7765404626563234</v>
      </c>
      <c r="L1862">
        <v>1.065328529069195</v>
      </c>
      <c r="M1862">
        <v>21.27</v>
      </c>
      <c r="N1862">
        <v>12.1</v>
      </c>
    </row>
    <row r="1863" spans="1:14">
      <c r="A1863" s="1" t="s">
        <v>1875</v>
      </c>
      <c r="B1863">
        <f>HYPERLINK("https://www.suredividend.com/sure-analysis-WOR/","Worthington Industries, Inc.")</f>
        <v>0</v>
      </c>
      <c r="C1863" t="s">
        <v>1925</v>
      </c>
      <c r="D1863">
        <v>43.19</v>
      </c>
      <c r="E1863">
        <v>0.02871034961796712</v>
      </c>
      <c r="F1863">
        <v>0.107142857142857</v>
      </c>
      <c r="G1863">
        <v>0.08100693430783124</v>
      </c>
      <c r="H1863">
        <v>1.139957120800995</v>
      </c>
      <c r="I1863">
        <v>2139.150729</v>
      </c>
      <c r="J1863">
        <v>5.638454579689287</v>
      </c>
      <c r="K1863">
        <v>0.1532200431184133</v>
      </c>
      <c r="L1863">
        <v>1.221841072698549</v>
      </c>
      <c r="M1863">
        <v>62.03</v>
      </c>
      <c r="N1863">
        <v>38.01</v>
      </c>
    </row>
    <row r="1864" spans="1:14">
      <c r="A1864" s="1" t="s">
        <v>1876</v>
      </c>
      <c r="B1864">
        <f>HYPERLINK("https://www.suredividend.com/sure-analysis-research-database/","WideOpenWest Inc")</f>
        <v>0</v>
      </c>
      <c r="C1864" t="s">
        <v>1931</v>
      </c>
      <c r="D1864">
        <v>12.8</v>
      </c>
      <c r="E1864">
        <v>0</v>
      </c>
      <c r="H1864">
        <v>0</v>
      </c>
      <c r="I1864">
        <v>1122.954355</v>
      </c>
      <c r="J1864">
        <v>1.481079339488261</v>
      </c>
      <c r="K1864">
        <v>0</v>
      </c>
      <c r="L1864">
        <v>0.9995669229761481</v>
      </c>
      <c r="M1864">
        <v>22.94</v>
      </c>
      <c r="N1864">
        <v>12.08</v>
      </c>
    </row>
    <row r="1865" spans="1:14">
      <c r="A1865" s="1" t="s">
        <v>1877</v>
      </c>
      <c r="B1865">
        <f>HYPERLINK("https://www.suredividend.com/sure-analysis-research-database/","Washington Real Estate Investment Trust")</f>
        <v>0</v>
      </c>
      <c r="C1865" t="s">
        <v>1929</v>
      </c>
      <c r="D1865">
        <v>16.7</v>
      </c>
      <c r="E1865">
        <v>0.040391551637639</v>
      </c>
      <c r="F1865">
        <v>0</v>
      </c>
      <c r="G1865">
        <v>-0.1073822198862823</v>
      </c>
      <c r="H1865">
        <v>0.6745389123485871</v>
      </c>
      <c r="I1865">
        <v>1459.61983</v>
      </c>
      <c r="J1865">
        <v>189.9310122966818</v>
      </c>
      <c r="K1865">
        <v>7.545177990476365</v>
      </c>
      <c r="L1865">
        <v>0.543339934331408</v>
      </c>
      <c r="M1865">
        <v>26.38</v>
      </c>
      <c r="N1865">
        <v>16.32</v>
      </c>
    </row>
    <row r="1866" spans="1:14">
      <c r="A1866" s="1" t="s">
        <v>1878</v>
      </c>
      <c r="B1866">
        <f>HYPERLINK("https://www.suredividend.com/sure-analysis-research-database/","World Acceptance Corp.")</f>
        <v>0</v>
      </c>
      <c r="C1866" t="s">
        <v>1923</v>
      </c>
      <c r="D1866">
        <v>98.48999999999999</v>
      </c>
      <c r="E1866">
        <v>0</v>
      </c>
      <c r="H1866">
        <v>0</v>
      </c>
      <c r="I1866">
        <v>618.686701</v>
      </c>
      <c r="J1866">
        <v>21.08240495232827</v>
      </c>
      <c r="K1866">
        <v>0</v>
      </c>
      <c r="L1866">
        <v>1.473543829680133</v>
      </c>
      <c r="M1866">
        <v>265.75</v>
      </c>
      <c r="N1866">
        <v>89.25</v>
      </c>
    </row>
    <row r="1867" spans="1:14">
      <c r="A1867" s="1" t="s">
        <v>1879</v>
      </c>
      <c r="B1867">
        <f>HYPERLINK("https://www.suredividend.com/sure-analysis-WSBC/","Wesbanco, Inc.")</f>
        <v>0</v>
      </c>
      <c r="C1867" t="s">
        <v>1923</v>
      </c>
      <c r="D1867">
        <v>35.89</v>
      </c>
      <c r="E1867">
        <v>0.03677904708832544</v>
      </c>
      <c r="F1867">
        <v>0.03030303030303028</v>
      </c>
      <c r="G1867">
        <v>0.05511819868320456</v>
      </c>
      <c r="H1867">
        <v>1.330140687255544</v>
      </c>
      <c r="I1867">
        <v>2163.248718</v>
      </c>
      <c r="J1867">
        <v>12.33998493166157</v>
      </c>
      <c r="K1867">
        <v>0.4750502454484086</v>
      </c>
      <c r="L1867">
        <v>0.6262985856002841</v>
      </c>
      <c r="M1867">
        <v>37.24</v>
      </c>
      <c r="N1867">
        <v>29.21</v>
      </c>
    </row>
    <row r="1868" spans="1:14">
      <c r="A1868" s="1" t="s">
        <v>1880</v>
      </c>
      <c r="B1868">
        <f>HYPERLINK("https://www.suredividend.com/sure-analysis-research-database/","Waterstone Financial Inc")</f>
        <v>0</v>
      </c>
      <c r="C1868" t="s">
        <v>1923</v>
      </c>
      <c r="D1868">
        <v>16.49</v>
      </c>
      <c r="E1868">
        <v>0.04767112284721201</v>
      </c>
      <c r="F1868">
        <v>-0.6</v>
      </c>
      <c r="G1868">
        <v>-0.1674467925981269</v>
      </c>
      <c r="H1868">
        <v>0.786096815750528</v>
      </c>
      <c r="I1868">
        <v>372.924087</v>
      </c>
      <c r="J1868">
        <v>8.317885697015658</v>
      </c>
      <c r="K1868">
        <v>0.4094254248700667</v>
      </c>
      <c r="L1868">
        <v>0.362036534295148</v>
      </c>
      <c r="M1868">
        <v>21.77</v>
      </c>
      <c r="N1868">
        <v>15.33</v>
      </c>
    </row>
    <row r="1869" spans="1:14">
      <c r="A1869" s="1" t="s">
        <v>1881</v>
      </c>
      <c r="B1869">
        <f>HYPERLINK("https://www.suredividend.com/sure-analysis-research-database/","WillScot Mobile Mini Holdings Corp")</f>
        <v>0</v>
      </c>
      <c r="C1869" t="s">
        <v>1924</v>
      </c>
      <c r="D1869">
        <v>41.81</v>
      </c>
      <c r="E1869">
        <v>0</v>
      </c>
      <c r="H1869">
        <v>0</v>
      </c>
      <c r="I1869">
        <v>8934.826518</v>
      </c>
      <c r="J1869">
        <v>34.38151142234861</v>
      </c>
      <c r="K1869">
        <v>0</v>
      </c>
      <c r="L1869">
        <v>1.228463641546793</v>
      </c>
      <c r="M1869">
        <v>44.15</v>
      </c>
      <c r="N1869">
        <v>30.52</v>
      </c>
    </row>
    <row r="1870" spans="1:14">
      <c r="A1870" s="1" t="s">
        <v>1882</v>
      </c>
      <c r="B1870">
        <f>HYPERLINK("https://www.suredividend.com/sure-analysis-research-database/","WSFS Financial Corp.")</f>
        <v>0</v>
      </c>
      <c r="C1870" t="s">
        <v>1923</v>
      </c>
      <c r="D1870">
        <v>45.72</v>
      </c>
      <c r="E1870">
        <v>0.011759213742831</v>
      </c>
      <c r="F1870">
        <v>0.1538461538461537</v>
      </c>
      <c r="G1870">
        <v>0.1075663432482901</v>
      </c>
      <c r="H1870">
        <v>0.5376312523222361</v>
      </c>
      <c r="I1870">
        <v>2895.372756</v>
      </c>
      <c r="J1870">
        <v>16.52261084337212</v>
      </c>
      <c r="K1870">
        <v>0.1723177090776398</v>
      </c>
      <c r="L1870">
        <v>0.767106886715869</v>
      </c>
      <c r="M1870">
        <v>55.81</v>
      </c>
      <c r="N1870">
        <v>36.91</v>
      </c>
    </row>
    <row r="1871" spans="1:14">
      <c r="A1871" s="1" t="s">
        <v>1883</v>
      </c>
      <c r="B1871">
        <f>HYPERLINK("https://www.suredividend.com/sure-analysis-WSR/","Whitestone REIT")</f>
        <v>0</v>
      </c>
      <c r="C1871" t="s">
        <v>1929</v>
      </c>
      <c r="D1871">
        <v>8.220000000000001</v>
      </c>
      <c r="E1871">
        <v>0.0583941605839416</v>
      </c>
      <c r="F1871">
        <v>0</v>
      </c>
      <c r="G1871">
        <v>0.02706608708935176</v>
      </c>
      <c r="H1871">
        <v>0.4501312394246461</v>
      </c>
      <c r="I1871">
        <v>405.820668</v>
      </c>
      <c r="J1871">
        <v>0</v>
      </c>
      <c r="K1871" t="s">
        <v>1921</v>
      </c>
      <c r="L1871">
        <v>0.649684799830555</v>
      </c>
      <c r="M1871">
        <v>13.35</v>
      </c>
      <c r="N1871">
        <v>8.16</v>
      </c>
    </row>
    <row r="1872" spans="1:14">
      <c r="A1872" s="1" t="s">
        <v>1884</v>
      </c>
      <c r="B1872">
        <f>HYPERLINK("https://www.suredividend.com/sure-analysis-research-database/","West Bancorporation")</f>
        <v>0</v>
      </c>
      <c r="C1872" t="s">
        <v>1923</v>
      </c>
      <c r="D1872">
        <v>20.84</v>
      </c>
      <c r="E1872">
        <v>0.046818834399799</v>
      </c>
      <c r="F1872">
        <v>0.04166666666666674</v>
      </c>
      <c r="G1872">
        <v>0.06790716584560208</v>
      </c>
      <c r="H1872">
        <v>0.975704508891829</v>
      </c>
      <c r="I1872">
        <v>346.786207</v>
      </c>
      <c r="J1872">
        <v>6.871543918203975</v>
      </c>
      <c r="K1872">
        <v>0.3252348362972763</v>
      </c>
      <c r="L1872">
        <v>0.633883646945094</v>
      </c>
      <c r="M1872">
        <v>33.36</v>
      </c>
      <c r="N1872">
        <v>20.39</v>
      </c>
    </row>
    <row r="1873" spans="1:14">
      <c r="A1873" s="1" t="s">
        <v>1885</v>
      </c>
      <c r="B1873">
        <f>HYPERLINK("https://www.suredividend.com/sure-analysis-research-database/","W &amp; T Offshore Inc")</f>
        <v>0</v>
      </c>
      <c r="C1873" t="s">
        <v>1926</v>
      </c>
      <c r="D1873">
        <v>7.21</v>
      </c>
      <c r="E1873">
        <v>0</v>
      </c>
      <c r="H1873">
        <v>0</v>
      </c>
      <c r="I1873">
        <v>1032.143123</v>
      </c>
      <c r="J1873">
        <v>7.824067215943116</v>
      </c>
      <c r="K1873">
        <v>0</v>
      </c>
      <c r="L1873">
        <v>0.9897848309086211</v>
      </c>
      <c r="M1873">
        <v>9.01</v>
      </c>
      <c r="N1873">
        <v>2.97</v>
      </c>
    </row>
    <row r="1874" spans="1:14">
      <c r="A1874" s="1" t="s">
        <v>1886</v>
      </c>
      <c r="B1874">
        <f>HYPERLINK("https://www.suredividend.com/sure-analysis-research-database/","Watts Water Technologies, Inc.")</f>
        <v>0</v>
      </c>
      <c r="C1874" t="s">
        <v>1924</v>
      </c>
      <c r="D1874">
        <v>126.57</v>
      </c>
      <c r="E1874">
        <v>0.008831549426443</v>
      </c>
      <c r="F1874">
        <v>0.153846153846154</v>
      </c>
      <c r="G1874">
        <v>0.09565425774785385</v>
      </c>
      <c r="H1874">
        <v>1.117809210904981</v>
      </c>
      <c r="I1874">
        <v>3455.869179</v>
      </c>
      <c r="J1874">
        <v>16.40184707427622</v>
      </c>
      <c r="K1874">
        <v>0.179423629358745</v>
      </c>
      <c r="L1874">
        <v>1.055352849784091</v>
      </c>
      <c r="M1874">
        <v>210.9</v>
      </c>
      <c r="N1874">
        <v>116.06</v>
      </c>
    </row>
    <row r="1875" spans="1:14">
      <c r="A1875" s="1" t="s">
        <v>1887</v>
      </c>
      <c r="B1875">
        <f>HYPERLINK("https://www.suredividend.com/sure-analysis-research-database/","Select Energy Services Inc")</f>
        <v>0</v>
      </c>
      <c r="C1875" t="s">
        <v>1926</v>
      </c>
      <c r="D1875">
        <v>7.87</v>
      </c>
      <c r="E1875">
        <v>0</v>
      </c>
      <c r="H1875">
        <v>0</v>
      </c>
      <c r="I1875">
        <v>772.157991</v>
      </c>
      <c r="J1875">
        <v>46.08797842962875</v>
      </c>
      <c r="K1875">
        <v>0</v>
      </c>
      <c r="L1875">
        <v>0.727384701175794</v>
      </c>
      <c r="M1875">
        <v>10.43</v>
      </c>
      <c r="N1875">
        <v>5.3</v>
      </c>
    </row>
    <row r="1876" spans="1:14">
      <c r="A1876" s="1" t="s">
        <v>1888</v>
      </c>
      <c r="B1876">
        <f>HYPERLINK("https://www.suredividend.com/sure-analysis-research-database/","Wave Life Sciences Ltd.")</f>
        <v>0</v>
      </c>
      <c r="C1876" t="s">
        <v>1922</v>
      </c>
      <c r="D1876">
        <v>4.43</v>
      </c>
      <c r="E1876">
        <v>0</v>
      </c>
      <c r="H1876">
        <v>0</v>
      </c>
      <c r="I1876">
        <v>384.613092</v>
      </c>
      <c r="J1876" t="s">
        <v>1921</v>
      </c>
      <c r="K1876">
        <v>-0</v>
      </c>
      <c r="L1876">
        <v>1.705702310427908</v>
      </c>
      <c r="M1876">
        <v>5.22</v>
      </c>
      <c r="N1876">
        <v>1.16</v>
      </c>
    </row>
    <row r="1877" spans="1:14">
      <c r="A1877" s="1" t="s">
        <v>1889</v>
      </c>
      <c r="B1877">
        <f>HYPERLINK("https://www.suredividend.com/sure-analysis-research-database/","WW International Inc")</f>
        <v>0</v>
      </c>
      <c r="C1877" t="s">
        <v>1927</v>
      </c>
      <c r="D1877">
        <v>3.57</v>
      </c>
      <c r="E1877">
        <v>0</v>
      </c>
      <c r="H1877">
        <v>0</v>
      </c>
      <c r="I1877">
        <v>251.270487</v>
      </c>
      <c r="J1877">
        <v>3.963694529364441</v>
      </c>
      <c r="K1877">
        <v>0</v>
      </c>
      <c r="L1877">
        <v>1.61905318066069</v>
      </c>
      <c r="M1877">
        <v>21.97</v>
      </c>
      <c r="N1877">
        <v>3.54</v>
      </c>
    </row>
    <row r="1878" spans="1:14">
      <c r="A1878" s="1" t="s">
        <v>1890</v>
      </c>
      <c r="B1878">
        <f>HYPERLINK("https://www.suredividend.com/sure-analysis-research-database/","Wolverine World Wide, Inc.")</f>
        <v>0</v>
      </c>
      <c r="C1878" t="s">
        <v>1927</v>
      </c>
      <c r="D1878">
        <v>15.13</v>
      </c>
      <c r="E1878">
        <v>0.026225638554939</v>
      </c>
      <c r="F1878">
        <v>0</v>
      </c>
      <c r="G1878">
        <v>0.1075663432482901</v>
      </c>
      <c r="H1878">
        <v>0.396793911336239</v>
      </c>
      <c r="I1878">
        <v>1191.277405</v>
      </c>
      <c r="J1878">
        <v>10.15581760289855</v>
      </c>
      <c r="K1878">
        <v>0.2774782596756916</v>
      </c>
      <c r="L1878">
        <v>1.330470521831781</v>
      </c>
      <c r="M1878">
        <v>37.36</v>
      </c>
      <c r="N1878">
        <v>15.07</v>
      </c>
    </row>
    <row r="1879" spans="1:14">
      <c r="A1879" s="1" t="s">
        <v>1891</v>
      </c>
      <c r="B1879">
        <f>HYPERLINK("https://www.suredividend.com/sure-analysis-research-database/","XBiotech Inc")</f>
        <v>0</v>
      </c>
      <c r="C1879" t="s">
        <v>1922</v>
      </c>
      <c r="D1879">
        <v>3.79</v>
      </c>
      <c r="E1879">
        <v>0</v>
      </c>
      <c r="H1879">
        <v>0</v>
      </c>
      <c r="I1879">
        <v>115.364852</v>
      </c>
      <c r="J1879">
        <v>0</v>
      </c>
      <c r="K1879" t="s">
        <v>1921</v>
      </c>
      <c r="L1879">
        <v>1.088416525678359</v>
      </c>
      <c r="M1879">
        <v>16.47</v>
      </c>
      <c r="N1879">
        <v>3.53</v>
      </c>
    </row>
    <row r="1880" spans="1:14">
      <c r="A1880" s="1" t="s">
        <v>1892</v>
      </c>
      <c r="B1880">
        <f>HYPERLINK("https://www.suredividend.com/sure-analysis-research-database/","Intersect ENT Inc")</f>
        <v>0</v>
      </c>
      <c r="C1880" t="s">
        <v>1922</v>
      </c>
      <c r="D1880">
        <v>28.24</v>
      </c>
      <c r="E1880">
        <v>0</v>
      </c>
      <c r="H1880">
        <v>0</v>
      </c>
      <c r="I1880">
        <v>0</v>
      </c>
      <c r="J1880">
        <v>0</v>
      </c>
      <c r="K1880" t="s">
        <v>1921</v>
      </c>
    </row>
    <row r="1881" spans="1:14">
      <c r="A1881" s="1" t="s">
        <v>1893</v>
      </c>
      <c r="B1881">
        <f>HYPERLINK("https://www.suredividend.com/sure-analysis-research-database/","Exagen Inc")</f>
        <v>0</v>
      </c>
      <c r="C1881" t="s">
        <v>1922</v>
      </c>
      <c r="D1881">
        <v>2.62</v>
      </c>
      <c r="E1881">
        <v>0</v>
      </c>
      <c r="H1881">
        <v>0</v>
      </c>
      <c r="I1881">
        <v>42.602366</v>
      </c>
      <c r="J1881">
        <v>0</v>
      </c>
      <c r="K1881" t="s">
        <v>1921</v>
      </c>
      <c r="L1881">
        <v>1.12470764184293</v>
      </c>
      <c r="M1881">
        <v>14.85</v>
      </c>
      <c r="N1881">
        <v>2.57</v>
      </c>
    </row>
    <row r="1882" spans="1:14">
      <c r="A1882" s="1" t="s">
        <v>1894</v>
      </c>
      <c r="B1882">
        <f>HYPERLINK("https://www.suredividend.com/sure-analysis-research-database/","Xenia Hotels &amp; Resorts Inc")</f>
        <v>0</v>
      </c>
      <c r="C1882" t="s">
        <v>1929</v>
      </c>
      <c r="D1882">
        <v>14.15</v>
      </c>
      <c r="E1882">
        <v>0.007067137914495001</v>
      </c>
      <c r="H1882">
        <v>0.100000001490116</v>
      </c>
      <c r="I1882">
        <v>1618.098813</v>
      </c>
      <c r="J1882" t="s">
        <v>1921</v>
      </c>
      <c r="K1882" t="s">
        <v>1921</v>
      </c>
      <c r="L1882">
        <v>1.267912891785198</v>
      </c>
      <c r="M1882">
        <v>20.27</v>
      </c>
      <c r="N1882">
        <v>13.09</v>
      </c>
    </row>
    <row r="1883" spans="1:14">
      <c r="A1883" s="1" t="s">
        <v>1895</v>
      </c>
      <c r="B1883">
        <f>HYPERLINK("https://www.suredividend.com/sure-analysis-research-database/","XL Fleet Corporation")</f>
        <v>0</v>
      </c>
      <c r="C1883" t="s">
        <v>1921</v>
      </c>
      <c r="D1883">
        <v>0.84</v>
      </c>
      <c r="E1883">
        <v>0</v>
      </c>
      <c r="H1883">
        <v>0</v>
      </c>
      <c r="I1883">
        <v>119.696834</v>
      </c>
      <c r="J1883">
        <v>0</v>
      </c>
      <c r="K1883" t="s">
        <v>1921</v>
      </c>
      <c r="L1883">
        <v>1.763928057211651</v>
      </c>
      <c r="M1883">
        <v>6.38</v>
      </c>
      <c r="N1883">
        <v>0.8</v>
      </c>
    </row>
    <row r="1884" spans="1:14">
      <c r="A1884" s="1" t="s">
        <v>1896</v>
      </c>
      <c r="B1884">
        <f>HYPERLINK("https://www.suredividend.com/sure-analysis-research-database/","Xilio Therapeutics Inc")</f>
        <v>0</v>
      </c>
      <c r="C1884" t="s">
        <v>1921</v>
      </c>
      <c r="D1884">
        <v>2.54</v>
      </c>
      <c r="E1884">
        <v>0</v>
      </c>
      <c r="H1884">
        <v>0</v>
      </c>
      <c r="I1884">
        <v>69.77788200000001</v>
      </c>
      <c r="J1884">
        <v>0</v>
      </c>
      <c r="K1884" t="s">
        <v>1921</v>
      </c>
      <c r="M1884">
        <v>27.95</v>
      </c>
      <c r="N1884">
        <v>2.01</v>
      </c>
    </row>
    <row r="1885" spans="1:14">
      <c r="A1885" s="1" t="s">
        <v>1897</v>
      </c>
      <c r="B1885">
        <f>HYPERLINK("https://www.suredividend.com/sure-analysis-research-database/","Xometry Inc")</f>
        <v>0</v>
      </c>
      <c r="C1885" t="s">
        <v>1921</v>
      </c>
      <c r="D1885">
        <v>56.16</v>
      </c>
      <c r="E1885">
        <v>0</v>
      </c>
      <c r="H1885">
        <v>0</v>
      </c>
      <c r="I1885">
        <v>2504.328503</v>
      </c>
      <c r="J1885">
        <v>0</v>
      </c>
      <c r="K1885" t="s">
        <v>1921</v>
      </c>
      <c r="L1885">
        <v>1.432510676928758</v>
      </c>
      <c r="M1885">
        <v>64.34999999999999</v>
      </c>
      <c r="N1885">
        <v>26.61</v>
      </c>
    </row>
    <row r="1886" spans="1:14">
      <c r="A1886" s="1" t="s">
        <v>1898</v>
      </c>
      <c r="B1886">
        <f>HYPERLINK("https://www.suredividend.com/sure-analysis-research-database/","Xencor Inc")</f>
        <v>0</v>
      </c>
      <c r="C1886" t="s">
        <v>1922</v>
      </c>
      <c r="D1886">
        <v>25.86</v>
      </c>
      <c r="E1886">
        <v>0</v>
      </c>
      <c r="H1886">
        <v>0</v>
      </c>
      <c r="I1886">
        <v>1543.794107</v>
      </c>
      <c r="J1886">
        <v>68.64663201031615</v>
      </c>
      <c r="K1886">
        <v>0</v>
      </c>
      <c r="L1886">
        <v>1.020418551878983</v>
      </c>
      <c r="M1886">
        <v>43.61</v>
      </c>
      <c r="N1886">
        <v>19.36</v>
      </c>
    </row>
    <row r="1887" spans="1:14">
      <c r="A1887" s="1" t="s">
        <v>1899</v>
      </c>
      <c r="B1887">
        <f>HYPERLINK("https://www.suredividend.com/sure-analysis-research-database/","XOMA Corp")</f>
        <v>0</v>
      </c>
      <c r="C1887" t="s">
        <v>1922</v>
      </c>
      <c r="D1887">
        <v>16</v>
      </c>
      <c r="E1887">
        <v>0</v>
      </c>
      <c r="H1887">
        <v>0</v>
      </c>
      <c r="I1887">
        <v>183.213168</v>
      </c>
      <c r="J1887">
        <v>19.21682064191315</v>
      </c>
      <c r="K1887">
        <v>0</v>
      </c>
      <c r="L1887">
        <v>0.8202976869141021</v>
      </c>
      <c r="M1887">
        <v>32.09</v>
      </c>
      <c r="N1887">
        <v>15.68</v>
      </c>
    </row>
    <row r="1888" spans="1:14">
      <c r="A1888" s="1" t="s">
        <v>1900</v>
      </c>
      <c r="B1888">
        <f>HYPERLINK("https://www.suredividend.com/sure-analysis-research-database/","XPEL Inc")</f>
        <v>0</v>
      </c>
      <c r="C1888" t="s">
        <v>1927</v>
      </c>
      <c r="D1888">
        <v>63.7</v>
      </c>
      <c r="E1888">
        <v>0</v>
      </c>
      <c r="H1888">
        <v>0</v>
      </c>
      <c r="I1888">
        <v>1759.143277</v>
      </c>
      <c r="J1888">
        <v>51.37776935602759</v>
      </c>
      <c r="K1888">
        <v>0</v>
      </c>
      <c r="L1888">
        <v>1.304967243476955</v>
      </c>
      <c r="M1888">
        <v>87.01000000000001</v>
      </c>
      <c r="N1888">
        <v>39.8</v>
      </c>
    </row>
    <row r="1889" spans="1:14">
      <c r="A1889" s="1" t="s">
        <v>1901</v>
      </c>
      <c r="B1889">
        <f>HYPERLINK("https://www.suredividend.com/sure-analysis-research-database/","Xperi Inc")</f>
        <v>0</v>
      </c>
      <c r="C1889" t="s">
        <v>1920</v>
      </c>
      <c r="D1889">
        <v>13.74</v>
      </c>
      <c r="E1889">
        <v>0</v>
      </c>
      <c r="F1889">
        <v>0</v>
      </c>
      <c r="G1889">
        <v>-0.242141716744801</v>
      </c>
      <c r="H1889">
        <v>0</v>
      </c>
      <c r="I1889">
        <v>0</v>
      </c>
      <c r="J1889">
        <v>0</v>
      </c>
      <c r="K1889" t="s">
        <v>1921</v>
      </c>
      <c r="M1889">
        <v>26</v>
      </c>
      <c r="N1889">
        <v>13.3</v>
      </c>
    </row>
    <row r="1890" spans="1:14">
      <c r="A1890" s="1" t="s">
        <v>1902</v>
      </c>
      <c r="B1890">
        <f>HYPERLINK("https://www.suredividend.com/sure-analysis-research-database/","Xponential Fitness Inc")</f>
        <v>0</v>
      </c>
      <c r="C1890" t="s">
        <v>1921</v>
      </c>
      <c r="D1890">
        <v>19.31</v>
      </c>
      <c r="E1890">
        <v>0</v>
      </c>
      <c r="H1890">
        <v>0</v>
      </c>
      <c r="I1890">
        <v>524.958358</v>
      </c>
      <c r="J1890">
        <v>0</v>
      </c>
      <c r="K1890" t="s">
        <v>1921</v>
      </c>
      <c r="L1890">
        <v>1.708550402402665</v>
      </c>
      <c r="M1890">
        <v>26.9</v>
      </c>
      <c r="N1890">
        <v>11.2</v>
      </c>
    </row>
    <row r="1891" spans="1:14">
      <c r="A1891" s="1" t="s">
        <v>1903</v>
      </c>
      <c r="B1891">
        <f>HYPERLINK("https://www.suredividend.com/sure-analysis-research-database/","Expro Group Holdings N.V.")</f>
        <v>0</v>
      </c>
      <c r="C1891" t="s">
        <v>1921</v>
      </c>
      <c r="D1891">
        <v>15.35</v>
      </c>
      <c r="E1891">
        <v>0</v>
      </c>
      <c r="H1891">
        <v>0</v>
      </c>
      <c r="I1891">
        <v>1668.588732</v>
      </c>
      <c r="J1891">
        <v>0</v>
      </c>
      <c r="K1891" t="s">
        <v>1921</v>
      </c>
      <c r="L1891">
        <v>1.066680032841284</v>
      </c>
      <c r="M1891">
        <v>20.01</v>
      </c>
      <c r="N1891">
        <v>8.82</v>
      </c>
    </row>
    <row r="1892" spans="1:14">
      <c r="A1892" s="1" t="s">
        <v>1904</v>
      </c>
      <c r="B1892">
        <f>HYPERLINK("https://www.suredividend.com/sure-analysis-research-database/","22nd Century Group Inc")</f>
        <v>0</v>
      </c>
      <c r="C1892" t="s">
        <v>1922</v>
      </c>
      <c r="D1892">
        <v>0.9163</v>
      </c>
      <c r="E1892">
        <v>0</v>
      </c>
      <c r="H1892">
        <v>0</v>
      </c>
      <c r="I1892">
        <v>196.807258</v>
      </c>
      <c r="J1892">
        <v>0</v>
      </c>
      <c r="K1892" t="s">
        <v>1921</v>
      </c>
      <c r="L1892">
        <v>1.677946656796503</v>
      </c>
      <c r="M1892">
        <v>3.52</v>
      </c>
      <c r="N1892">
        <v>0.9</v>
      </c>
    </row>
    <row r="1893" spans="1:14">
      <c r="A1893" s="1" t="s">
        <v>1905</v>
      </c>
      <c r="B1893">
        <f>HYPERLINK("https://www.suredividend.com/sure-analysis-research-database/","Yellow Corporation")</f>
        <v>0</v>
      </c>
      <c r="C1893" t="s">
        <v>1921</v>
      </c>
      <c r="D1893">
        <v>4.43</v>
      </c>
      <c r="E1893">
        <v>0</v>
      </c>
      <c r="H1893">
        <v>0</v>
      </c>
      <c r="I1893">
        <v>228.70866</v>
      </c>
      <c r="J1893" t="s">
        <v>1921</v>
      </c>
      <c r="K1893">
        <v>-0</v>
      </c>
      <c r="L1893">
        <v>2.482182198957622</v>
      </c>
      <c r="M1893">
        <v>15.24</v>
      </c>
      <c r="N1893">
        <v>2.82</v>
      </c>
    </row>
    <row r="1894" spans="1:14">
      <c r="A1894" s="1" t="s">
        <v>1906</v>
      </c>
      <c r="B1894">
        <f>HYPERLINK("https://www.suredividend.com/sure-analysis-research-database/","Yelp Inc")</f>
        <v>0</v>
      </c>
      <c r="C1894" t="s">
        <v>1931</v>
      </c>
      <c r="D1894">
        <v>35.46</v>
      </c>
      <c r="E1894">
        <v>0</v>
      </c>
      <c r="H1894">
        <v>0</v>
      </c>
      <c r="I1894">
        <v>2491.909905</v>
      </c>
      <c r="J1894">
        <v>51.54005057850214</v>
      </c>
      <c r="K1894">
        <v>0</v>
      </c>
      <c r="L1894">
        <v>1.244849028214905</v>
      </c>
      <c r="M1894">
        <v>41.28</v>
      </c>
      <c r="N1894">
        <v>26.28</v>
      </c>
    </row>
    <row r="1895" spans="1:14">
      <c r="A1895" s="1" t="s">
        <v>1907</v>
      </c>
      <c r="B1895">
        <f>HYPERLINK("https://www.suredividend.com/sure-analysis-research-database/","Yext Inc")</f>
        <v>0</v>
      </c>
      <c r="C1895" t="s">
        <v>1920</v>
      </c>
      <c r="D1895">
        <v>4.39</v>
      </c>
      <c r="E1895">
        <v>0</v>
      </c>
      <c r="H1895">
        <v>0</v>
      </c>
      <c r="I1895">
        <v>541.883741</v>
      </c>
      <c r="J1895" t="s">
        <v>1921</v>
      </c>
      <c r="K1895">
        <v>-0</v>
      </c>
      <c r="L1895">
        <v>1.462217407056863</v>
      </c>
      <c r="M1895">
        <v>13.13</v>
      </c>
      <c r="N1895">
        <v>4</v>
      </c>
    </row>
    <row r="1896" spans="1:14">
      <c r="A1896" s="1" t="s">
        <v>1908</v>
      </c>
      <c r="B1896">
        <f>HYPERLINK("https://www.suredividend.com/sure-analysis-research-database/","Y-Mabs Therapeutics Inc")</f>
        <v>0</v>
      </c>
      <c r="C1896" t="s">
        <v>1922</v>
      </c>
      <c r="D1896">
        <v>14</v>
      </c>
      <c r="E1896">
        <v>0</v>
      </c>
      <c r="H1896">
        <v>0</v>
      </c>
      <c r="I1896">
        <v>612.073686</v>
      </c>
      <c r="J1896">
        <v>0</v>
      </c>
      <c r="K1896" t="s">
        <v>1921</v>
      </c>
      <c r="L1896">
        <v>1.665774661931442</v>
      </c>
      <c r="M1896">
        <v>28.5</v>
      </c>
      <c r="N1896">
        <v>6.5</v>
      </c>
    </row>
    <row r="1897" spans="1:14">
      <c r="A1897" s="1" t="s">
        <v>1909</v>
      </c>
      <c r="B1897">
        <f>HYPERLINK("https://www.suredividend.com/sure-analysis-YORW/","York Water Co.")</f>
        <v>0</v>
      </c>
      <c r="C1897" t="s">
        <v>1930</v>
      </c>
      <c r="D1897">
        <v>38.19</v>
      </c>
      <c r="E1897">
        <v>0.0204241948153967</v>
      </c>
      <c r="F1897">
        <v>0.04002134471718244</v>
      </c>
      <c r="G1897">
        <v>0.03187566005339715</v>
      </c>
      <c r="H1897">
        <v>0.7740051431523811</v>
      </c>
      <c r="I1897">
        <v>544.846342</v>
      </c>
      <c r="J1897">
        <v>30.81187255103772</v>
      </c>
      <c r="K1897">
        <v>0.5863675326911978</v>
      </c>
      <c r="L1897">
        <v>0.377568259602193</v>
      </c>
      <c r="M1897">
        <v>49.18</v>
      </c>
      <c r="N1897">
        <v>36.85</v>
      </c>
    </row>
    <row r="1898" spans="1:14">
      <c r="A1898" s="1" t="s">
        <v>1910</v>
      </c>
      <c r="B1898">
        <f>HYPERLINK("https://www.suredividend.com/sure-analysis-research-database/","Ziff Davis Inc")</f>
        <v>0</v>
      </c>
      <c r="C1898" t="s">
        <v>1921</v>
      </c>
      <c r="D1898">
        <v>71.89</v>
      </c>
      <c r="E1898">
        <v>0</v>
      </c>
      <c r="H1898">
        <v>0</v>
      </c>
      <c r="I1898">
        <v>3392.593628</v>
      </c>
      <c r="J1898">
        <v>8.905800956733572</v>
      </c>
      <c r="K1898">
        <v>0</v>
      </c>
      <c r="L1898">
        <v>1.136268704582346</v>
      </c>
      <c r="M1898">
        <v>135</v>
      </c>
      <c r="N1898">
        <v>67.76000000000001</v>
      </c>
    </row>
    <row r="1899" spans="1:14">
      <c r="A1899" s="1" t="s">
        <v>1911</v>
      </c>
      <c r="B1899">
        <f>HYPERLINK("https://www.suredividend.com/sure-analysis-research-database/","Olympic Steel Inc.")</f>
        <v>0</v>
      </c>
      <c r="C1899" t="s">
        <v>1925</v>
      </c>
      <c r="D1899">
        <v>23.76</v>
      </c>
      <c r="E1899">
        <v>0.012174900155297</v>
      </c>
      <c r="F1899">
        <v>3.5</v>
      </c>
      <c r="G1899">
        <v>0.3509600385206135</v>
      </c>
      <c r="H1899">
        <v>0.289275627689877</v>
      </c>
      <c r="I1899">
        <v>264.393463</v>
      </c>
      <c r="J1899">
        <v>1.831994615853658</v>
      </c>
      <c r="K1899">
        <v>0.02310508208385599</v>
      </c>
      <c r="L1899">
        <v>1.230110260954966</v>
      </c>
      <c r="M1899">
        <v>43.04</v>
      </c>
      <c r="N1899">
        <v>19.79</v>
      </c>
    </row>
    <row r="1900" spans="1:14">
      <c r="A1900" s="1" t="s">
        <v>1912</v>
      </c>
      <c r="B1900">
        <f>HYPERLINK("https://www.suredividend.com/sure-analysis-research-database/","Zogenix Inc")</f>
        <v>0</v>
      </c>
      <c r="C1900" t="s">
        <v>1922</v>
      </c>
      <c r="D1900">
        <v>26.68</v>
      </c>
      <c r="E1900">
        <v>0</v>
      </c>
      <c r="H1900">
        <v>0</v>
      </c>
      <c r="I1900">
        <v>0</v>
      </c>
      <c r="J1900">
        <v>0</v>
      </c>
      <c r="K1900">
        <v>-0</v>
      </c>
    </row>
    <row r="1901" spans="1:14">
      <c r="A1901" s="1" t="s">
        <v>1913</v>
      </c>
      <c r="B1901">
        <f>HYPERLINK("https://www.suredividend.com/sure-analysis-research-database/","Zentalis Pharmaceuticals Inc")</f>
        <v>0</v>
      </c>
      <c r="C1901" t="s">
        <v>1922</v>
      </c>
      <c r="D1901">
        <v>21.5</v>
      </c>
      <c r="E1901">
        <v>0</v>
      </c>
      <c r="H1901">
        <v>0</v>
      </c>
      <c r="I1901">
        <v>1225.148282</v>
      </c>
      <c r="J1901">
        <v>0</v>
      </c>
      <c r="K1901" t="s">
        <v>1921</v>
      </c>
      <c r="L1901">
        <v>1.846635539599614</v>
      </c>
      <c r="M1901">
        <v>87.19</v>
      </c>
      <c r="N1901">
        <v>17.33</v>
      </c>
    </row>
    <row r="1902" spans="1:14">
      <c r="A1902" s="1" t="s">
        <v>1914</v>
      </c>
      <c r="B1902">
        <f>HYPERLINK("https://www.suredividend.com/sure-analysis-research-database/","Zumiez Inc")</f>
        <v>0</v>
      </c>
      <c r="C1902" t="s">
        <v>1927</v>
      </c>
      <c r="D1902">
        <v>21.26</v>
      </c>
      <c r="E1902">
        <v>0</v>
      </c>
      <c r="H1902">
        <v>0</v>
      </c>
      <c r="I1902">
        <v>413.93996</v>
      </c>
      <c r="J1902">
        <v>5.783222866603331</v>
      </c>
      <c r="K1902">
        <v>0</v>
      </c>
      <c r="L1902">
        <v>1.376989557224631</v>
      </c>
      <c r="M1902">
        <v>55.1</v>
      </c>
      <c r="N1902">
        <v>20.78</v>
      </c>
    </row>
    <row r="1903" spans="1:14">
      <c r="A1903" s="1" t="s">
        <v>1915</v>
      </c>
      <c r="B1903">
        <f>HYPERLINK("https://www.suredividend.com/sure-analysis-research-database/","Zuora Inc")</f>
        <v>0</v>
      </c>
      <c r="C1903" t="s">
        <v>1920</v>
      </c>
      <c r="D1903">
        <v>6.83</v>
      </c>
      <c r="E1903">
        <v>0</v>
      </c>
      <c r="H1903">
        <v>0</v>
      </c>
      <c r="I1903">
        <v>845.554</v>
      </c>
      <c r="J1903">
        <v>0</v>
      </c>
      <c r="K1903" t="s">
        <v>1921</v>
      </c>
      <c r="L1903">
        <v>1.696564275278302</v>
      </c>
      <c r="M1903">
        <v>23.25</v>
      </c>
      <c r="N1903">
        <v>6.82</v>
      </c>
    </row>
    <row r="1904" spans="1:14">
      <c r="A1904" s="1" t="s">
        <v>1916</v>
      </c>
      <c r="B1904">
        <f>HYPERLINK("https://www.suredividend.com/sure-analysis-research-database/","Zevia PBC")</f>
        <v>0</v>
      </c>
      <c r="C1904" t="s">
        <v>1921</v>
      </c>
      <c r="D1904">
        <v>4.11</v>
      </c>
      <c r="E1904">
        <v>0</v>
      </c>
      <c r="H1904">
        <v>0</v>
      </c>
      <c r="I1904">
        <v>181.133779</v>
      </c>
      <c r="J1904">
        <v>0</v>
      </c>
      <c r="K1904" t="s">
        <v>1921</v>
      </c>
      <c r="L1904">
        <v>1.226212530472662</v>
      </c>
      <c r="M1904">
        <v>12.87</v>
      </c>
      <c r="N1904">
        <v>1.86</v>
      </c>
    </row>
    <row r="1905" spans="1:14">
      <c r="A1905" s="1" t="s">
        <v>1917</v>
      </c>
      <c r="B1905">
        <f>HYPERLINK("https://www.suredividend.com/sure-analysis-research-database/","Zurn Elkay Water Solutions Corp")</f>
        <v>0</v>
      </c>
      <c r="C1905" t="s">
        <v>1921</v>
      </c>
      <c r="D1905">
        <v>24.64</v>
      </c>
      <c r="E1905">
        <v>0.006481614216422</v>
      </c>
      <c r="H1905">
        <v>0.159706974292648</v>
      </c>
      <c r="I1905">
        <v>4379.685341</v>
      </c>
      <c r="J1905">
        <v>25.22860219354839</v>
      </c>
      <c r="K1905">
        <v>0.1140764102090343</v>
      </c>
      <c r="L1905">
        <v>1.058878540942493</v>
      </c>
      <c r="M1905">
        <v>38.15</v>
      </c>
      <c r="N1905">
        <v>24.13</v>
      </c>
    </row>
    <row r="1906" spans="1:14">
      <c r="A1906" s="1" t="s">
        <v>1918</v>
      </c>
      <c r="B1906">
        <f>HYPERLINK("https://www.suredividend.com/sure-analysis-research-database/","Zymergen Inc")</f>
        <v>0</v>
      </c>
      <c r="C1906" t="s">
        <v>1921</v>
      </c>
      <c r="D1906">
        <v>2.56</v>
      </c>
      <c r="E1906">
        <v>0</v>
      </c>
      <c r="H1906">
        <v>0</v>
      </c>
      <c r="I1906">
        <v>267.14966</v>
      </c>
      <c r="J1906">
        <v>0</v>
      </c>
      <c r="K1906" t="s">
        <v>1921</v>
      </c>
      <c r="L1906">
        <v>2.299888020625117</v>
      </c>
      <c r="M1906">
        <v>13.25</v>
      </c>
      <c r="N1906">
        <v>1.1</v>
      </c>
    </row>
    <row r="1907" spans="1:14">
      <c r="A1907" s="1" t="s">
        <v>1919</v>
      </c>
      <c r="B1907">
        <f>HYPERLINK("https://www.suredividend.com/sure-analysis-research-database/","Zynex Inc")</f>
        <v>0</v>
      </c>
      <c r="C1907" t="s">
        <v>1922</v>
      </c>
      <c r="D1907">
        <v>8.710000000000001</v>
      </c>
      <c r="E1907">
        <v>0</v>
      </c>
      <c r="H1907">
        <v>0</v>
      </c>
      <c r="I1907">
        <v>334.521991</v>
      </c>
      <c r="J1907">
        <v>16.96014962380856</v>
      </c>
      <c r="K1907">
        <v>0</v>
      </c>
      <c r="L1907">
        <v>1.140210519843868</v>
      </c>
      <c r="M1907">
        <v>14.09</v>
      </c>
      <c r="N1907">
        <v>4.97</v>
      </c>
    </row>
  </sheetData>
  <autoFilter ref="A1:O1907"/>
  <conditionalFormatting sqref="A1:N1">
    <cfRule type="cellIs" dxfId="8" priority="15" operator="notEqual">
      <formula>-13.345</formula>
    </cfRule>
  </conditionalFormatting>
  <conditionalFormatting sqref="A2:A1907">
    <cfRule type="cellIs" dxfId="0" priority="1" operator="notEqual">
      <formula>"None"</formula>
    </cfRule>
  </conditionalFormatting>
  <conditionalFormatting sqref="B2:B1907">
    <cfRule type="cellIs" dxfId="1" priority="2" operator="notEqual">
      <formula>"None"</formula>
    </cfRule>
  </conditionalFormatting>
  <conditionalFormatting sqref="C2:C1907">
    <cfRule type="cellIs" dxfId="0" priority="3" operator="notEqual">
      <formula>"None"</formula>
    </cfRule>
  </conditionalFormatting>
  <conditionalFormatting sqref="D2:D1907">
    <cfRule type="cellIs" dxfId="2" priority="4" operator="notEqual">
      <formula>"None"</formula>
    </cfRule>
  </conditionalFormatting>
  <conditionalFormatting sqref="E2:E1907">
    <cfRule type="cellIs" dxfId="3" priority="5" operator="notEqual">
      <formula>"None"</formula>
    </cfRule>
  </conditionalFormatting>
  <conditionalFormatting sqref="F2:F1907">
    <cfRule type="cellIs" dxfId="4" priority="6" operator="notEqual">
      <formula>"None"</formula>
    </cfRule>
  </conditionalFormatting>
  <conditionalFormatting sqref="G2:G1907">
    <cfRule type="cellIs" dxfId="3" priority="7" operator="notEqual">
      <formula>"None"</formula>
    </cfRule>
  </conditionalFormatting>
  <conditionalFormatting sqref="H2:H1907">
    <cfRule type="cellIs" dxfId="2" priority="8" operator="notEqual">
      <formula>"None"</formula>
    </cfRule>
  </conditionalFormatting>
  <conditionalFormatting sqref="I2:I1907">
    <cfRule type="cellIs" dxfId="5" priority="9" operator="notEqual">
      <formula>"None"</formula>
    </cfRule>
  </conditionalFormatting>
  <conditionalFormatting sqref="J2:J1907">
    <cfRule type="cellIs" dxfId="6" priority="10" operator="notEqual">
      <formula>"None"</formula>
    </cfRule>
  </conditionalFormatting>
  <conditionalFormatting sqref="K2:K1907">
    <cfRule type="cellIs" dxfId="3" priority="11" operator="notEqual">
      <formula>"None"</formula>
    </cfRule>
  </conditionalFormatting>
  <conditionalFormatting sqref="L2:L1907">
    <cfRule type="cellIs" dxfId="7" priority="12" operator="notEqual">
      <formula>"None"</formula>
    </cfRule>
  </conditionalFormatting>
  <conditionalFormatting sqref="M2:M1907">
    <cfRule type="cellIs" dxfId="2" priority="13" operator="notEqual">
      <formula>"None"</formula>
    </cfRule>
  </conditionalFormatting>
  <conditionalFormatting sqref="N2:N1907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1932</v>
      </c>
      <c r="D1" s="1" t="s">
        <v>1933</v>
      </c>
      <c r="E1" s="1" t="s">
        <v>1934</v>
      </c>
      <c r="F1" s="1" t="s">
        <v>1935</v>
      </c>
      <c r="G1" s="1" t="s">
        <v>1936</v>
      </c>
      <c r="H1" s="1" t="s">
        <v>1937</v>
      </c>
      <c r="I1" s="1" t="s">
        <v>1938</v>
      </c>
    </row>
    <row r="2" spans="1:9">
      <c r="A2" s="1" t="s">
        <v>14</v>
      </c>
      <c r="B2">
        <f>HYPERLINK("https://www.suredividend.com/sure-analysis-research-database/","AMKOR Technology Inc.")</f>
        <v>0</v>
      </c>
      <c r="C2">
        <v>-0.114795918367346</v>
      </c>
      <c r="D2">
        <v>0.045968349660889</v>
      </c>
      <c r="E2">
        <v>-0.084650083093724</v>
      </c>
      <c r="F2">
        <v>-0.295087961646284</v>
      </c>
      <c r="G2">
        <v>-0.30392849118978</v>
      </c>
      <c r="H2">
        <v>0.390569772940393</v>
      </c>
      <c r="I2">
        <v>0.6726277125972481</v>
      </c>
    </row>
    <row r="3" spans="1:9">
      <c r="A3" s="1" t="s">
        <v>15</v>
      </c>
      <c r="B3">
        <f>HYPERLINK("https://www.suredividend.com/sure-analysis-research-database/","Amylyx Pharmaceuticals Inc")</f>
        <v>0</v>
      </c>
      <c r="C3">
        <v>0.143239625167336</v>
      </c>
      <c r="D3">
        <v>0.5380459252588921</v>
      </c>
      <c r="E3">
        <v>1.502564102564102</v>
      </c>
      <c r="F3">
        <v>0.890426120641947</v>
      </c>
      <c r="G3">
        <v>0.890426120641947</v>
      </c>
      <c r="H3">
        <v>0.890426120641947</v>
      </c>
      <c r="I3">
        <v>0.890426120641947</v>
      </c>
    </row>
    <row r="4" spans="1:9">
      <c r="A4" s="1" t="s">
        <v>16</v>
      </c>
      <c r="B4">
        <f>HYPERLINK("https://www.suredividend.com/sure-analysis-research-database/","AMN Healthcare Services Inc.")</f>
        <v>0</v>
      </c>
      <c r="C4">
        <v>0.06559849198869</v>
      </c>
      <c r="D4">
        <v>-0.0009719890430320001</v>
      </c>
      <c r="E4">
        <v>0.09448209099709501</v>
      </c>
      <c r="F4">
        <v>-0.07577863157034201</v>
      </c>
      <c r="G4">
        <v>-0.056496703663523</v>
      </c>
      <c r="H4">
        <v>0.760236649540712</v>
      </c>
      <c r="I4">
        <v>1.685510688836104</v>
      </c>
    </row>
    <row r="5" spans="1:9">
      <c r="A5" s="1" t="s">
        <v>17</v>
      </c>
      <c r="B5">
        <f>HYPERLINK("https://www.suredividend.com/sure-analysis-research-database/","American National Bankshares Inc.")</f>
        <v>0</v>
      </c>
      <c r="C5">
        <v>0.000297973778307</v>
      </c>
      <c r="D5">
        <v>-0.016044598943647</v>
      </c>
      <c r="E5">
        <v>-0.06473577462277301</v>
      </c>
      <c r="F5">
        <v>-0.08766761423858101</v>
      </c>
      <c r="G5">
        <v>-0.003215720508457</v>
      </c>
      <c r="H5">
        <v>0.609770834232445</v>
      </c>
      <c r="I5">
        <v>-0.08820038405858101</v>
      </c>
    </row>
    <row r="6" spans="1:9">
      <c r="A6" s="1" t="s">
        <v>18</v>
      </c>
      <c r="B6">
        <f>HYPERLINK("https://www.suredividend.com/sure-analysis-research-database/","Allied Motion Technologies Inc")</f>
        <v>0</v>
      </c>
      <c r="C6">
        <v>-0.169337103361608</v>
      </c>
      <c r="D6">
        <v>0.07508955691184101</v>
      </c>
      <c r="E6">
        <v>-0.038258680770266</v>
      </c>
      <c r="F6">
        <v>-0.273554527370838</v>
      </c>
      <c r="G6">
        <v>-0.185122632263472</v>
      </c>
      <c r="H6">
        <v>-0.090771537435177</v>
      </c>
      <c r="I6">
        <v>0.486144679894328</v>
      </c>
    </row>
    <row r="7" spans="1:9">
      <c r="A7" s="1" t="s">
        <v>19</v>
      </c>
      <c r="B7">
        <f>HYPERLINK("https://www.suredividend.com/sure-analysis-research-database/","Ampio Pharmaceuticals Inc")</f>
        <v>0</v>
      </c>
      <c r="C7">
        <v>0.282926829268292</v>
      </c>
      <c r="D7">
        <v>0.282926829268292</v>
      </c>
      <c r="E7">
        <v>0.282926829268292</v>
      </c>
      <c r="F7">
        <v>0.282926829268292</v>
      </c>
      <c r="G7">
        <v>0.282926829268292</v>
      </c>
      <c r="H7">
        <v>0.282926829268292</v>
      </c>
      <c r="I7">
        <v>0.282926829268292</v>
      </c>
    </row>
    <row r="8" spans="1:9">
      <c r="A8" s="1" t="s">
        <v>20</v>
      </c>
      <c r="B8">
        <f>HYPERLINK("https://www.suredividend.com/sure-analysis-research-database/","Amphastar Pharmaceuticals Inc")</f>
        <v>0</v>
      </c>
      <c r="C8">
        <v>-0.005324813631522001</v>
      </c>
      <c r="D8">
        <v>-0.224037662697313</v>
      </c>
      <c r="E8">
        <v>-0.319241982507288</v>
      </c>
      <c r="F8">
        <v>0.203091455560326</v>
      </c>
      <c r="G8">
        <v>0.439876670092497</v>
      </c>
      <c r="H8">
        <v>0.319209039548022</v>
      </c>
      <c r="I8">
        <v>0.498395721925133</v>
      </c>
    </row>
    <row r="9" spans="1:9">
      <c r="A9" s="1" t="s">
        <v>21</v>
      </c>
      <c r="B9">
        <f>HYPERLINK("https://www.suredividend.com/sure-analysis-research-database/","Ameresco Inc.")</f>
        <v>0</v>
      </c>
      <c r="C9">
        <v>-0.165774685576665</v>
      </c>
      <c r="D9">
        <v>0.317624683009298</v>
      </c>
      <c r="E9">
        <v>-0.100028868360277</v>
      </c>
      <c r="F9">
        <v>-0.234405697445972</v>
      </c>
      <c r="G9">
        <v>0.06727148236905101</v>
      </c>
      <c r="H9">
        <v>0.650344097406034</v>
      </c>
      <c r="I9">
        <v>6.842767295597485</v>
      </c>
    </row>
    <row r="10" spans="1:9">
      <c r="A10" s="1" t="s">
        <v>22</v>
      </c>
      <c r="B10">
        <f>HYPERLINK("https://www.suredividend.com/sure-analysis-research-database/","A-Mark Precious Metals Inc")</f>
        <v>0</v>
      </c>
      <c r="C10">
        <v>-0.029567013596459</v>
      </c>
      <c r="D10">
        <v>0.042601439534701</v>
      </c>
      <c r="E10">
        <v>-0.247174214641386</v>
      </c>
      <c r="F10">
        <v>-0.04510514074468101</v>
      </c>
      <c r="G10">
        <v>-0.154678702431808</v>
      </c>
      <c r="H10">
        <v>0.713271737135164</v>
      </c>
      <c r="I10">
        <v>3.030284710827072</v>
      </c>
    </row>
    <row r="11" spans="1:9">
      <c r="A11" s="1" t="s">
        <v>23</v>
      </c>
      <c r="B11">
        <f>HYPERLINK("https://www.suredividend.com/sure-analysis-research-database/","Amyris Inc")</f>
        <v>0</v>
      </c>
      <c r="C11">
        <v>-0.332446808510638</v>
      </c>
      <c r="D11">
        <v>0.09130434782608601</v>
      </c>
      <c r="E11">
        <v>-0.439732142857142</v>
      </c>
      <c r="F11">
        <v>-0.536044362292051</v>
      </c>
      <c r="G11">
        <v>-0.7903091060985791</v>
      </c>
      <c r="H11">
        <v>-0.198083067092651</v>
      </c>
      <c r="I11">
        <v>-0.246246246246246</v>
      </c>
    </row>
    <row r="12" spans="1:9">
      <c r="A12" s="1" t="s">
        <v>24</v>
      </c>
      <c r="B12">
        <f>HYPERLINK("https://www.suredividend.com/sure-analysis-research-database/","Amneal Pharmaceuticals Inc")</f>
        <v>0</v>
      </c>
      <c r="C12">
        <v>-0.121212121212121</v>
      </c>
      <c r="D12">
        <v>-0.3848484848484841</v>
      </c>
      <c r="E12">
        <v>-0.5448430493273541</v>
      </c>
      <c r="F12">
        <v>-0.5762004175365341</v>
      </c>
      <c r="G12">
        <v>-0.6387900355871881</v>
      </c>
      <c r="H12">
        <v>-0.572631578947368</v>
      </c>
      <c r="I12">
        <v>-0.8647568287808121</v>
      </c>
    </row>
    <row r="13" spans="1:9">
      <c r="A13" s="1" t="s">
        <v>25</v>
      </c>
      <c r="B13">
        <f>HYPERLINK("https://www.suredividend.com/sure-analysis-research-database/","American Superconductor Corp.")</f>
        <v>0</v>
      </c>
      <c r="C13">
        <v>-0.191056910569105</v>
      </c>
      <c r="D13">
        <v>-0.218074656188605</v>
      </c>
      <c r="E13">
        <v>-0.4346590909090901</v>
      </c>
      <c r="F13">
        <v>-0.6341911764705881</v>
      </c>
      <c r="G13">
        <v>-0.7371202113606341</v>
      </c>
      <c r="H13">
        <v>-0.7660199882422101</v>
      </c>
      <c r="I13">
        <v>-0.131004366812227</v>
      </c>
    </row>
    <row r="14" spans="1:9">
      <c r="A14" s="1" t="s">
        <v>26</v>
      </c>
      <c r="B14">
        <f>HYPERLINK("https://www.suredividend.com/sure-analysis-research-database/","Amerisafe Inc")</f>
        <v>0</v>
      </c>
      <c r="C14">
        <v>-0.036453000204792</v>
      </c>
      <c r="D14">
        <v>-0.0487454762338</v>
      </c>
      <c r="E14">
        <v>0.005268847989675</v>
      </c>
      <c r="F14">
        <v>-0.10893695515898</v>
      </c>
      <c r="G14">
        <v>-0.114112813637955</v>
      </c>
      <c r="H14">
        <v>-0.039819432993477</v>
      </c>
      <c r="I14">
        <v>0.137165617718997</v>
      </c>
    </row>
    <row r="15" spans="1:9">
      <c r="A15" s="1" t="s">
        <v>27</v>
      </c>
      <c r="B15">
        <f>HYPERLINK("https://www.suredividend.com/sure-analysis-research-database/","American Software Inc.")</f>
        <v>0</v>
      </c>
      <c r="C15">
        <v>-0.05143906919779501</v>
      </c>
      <c r="D15">
        <v>-0.08824966302319601</v>
      </c>
      <c r="E15">
        <v>-0.181916607251313</v>
      </c>
      <c r="F15">
        <v>-0.397751970233628</v>
      </c>
      <c r="G15">
        <v>-0.399677554373943</v>
      </c>
      <c r="H15">
        <v>0.045117499814456</v>
      </c>
      <c r="I15">
        <v>0.4991821762821441</v>
      </c>
    </row>
    <row r="16" spans="1:9">
      <c r="A16" s="1" t="s">
        <v>28</v>
      </c>
      <c r="B16">
        <f>HYPERLINK("https://www.suredividend.com/sure-analysis-research-database/","Amerant Bancorp Inc")</f>
        <v>0</v>
      </c>
      <c r="C16">
        <v>-0.054368203974503</v>
      </c>
      <c r="D16">
        <v>-0.10577523117944</v>
      </c>
      <c r="E16">
        <v>-0.106962646110046</v>
      </c>
      <c r="F16">
        <v>-0.263458241703683</v>
      </c>
      <c r="G16">
        <v>-0.008125349043914001</v>
      </c>
      <c r="H16">
        <v>1.386811023622047</v>
      </c>
      <c r="I16">
        <v>3.203333333333333</v>
      </c>
    </row>
    <row r="17" spans="1:9">
      <c r="A17" s="1" t="s">
        <v>29</v>
      </c>
      <c r="B17">
        <f>HYPERLINK("https://www.suredividend.com/sure-analysis-research-database/","Applied Molecular Transport Inc")</f>
        <v>0</v>
      </c>
      <c r="C17">
        <v>-0.164179104477611</v>
      </c>
      <c r="D17">
        <v>-0.5213675213675211</v>
      </c>
      <c r="E17">
        <v>-0.8175895765472311</v>
      </c>
      <c r="F17">
        <v>-0.9198855507868381</v>
      </c>
      <c r="G17">
        <v>-0.953833470733718</v>
      </c>
      <c r="H17">
        <v>-0.968</v>
      </c>
      <c r="I17">
        <v>-0.937708565072302</v>
      </c>
    </row>
    <row r="18" spans="1:9">
      <c r="A18" s="1" t="s">
        <v>30</v>
      </c>
      <c r="B18">
        <f>HYPERLINK("https://www.suredividend.com/sure-analysis-research-database/","Aemetis Inc")</f>
        <v>0</v>
      </c>
      <c r="C18">
        <v>-0.335470085470085</v>
      </c>
      <c r="D18">
        <v>0.182509505703422</v>
      </c>
      <c r="E18">
        <v>-0.482959268495428</v>
      </c>
      <c r="F18">
        <v>-0.49430894308943</v>
      </c>
      <c r="G18">
        <v>-0.6763787721123831</v>
      </c>
      <c r="H18">
        <v>0.8348082595870201</v>
      </c>
      <c r="I18">
        <v>5.98876404494382</v>
      </c>
    </row>
    <row r="19" spans="1:9">
      <c r="A19" s="1" t="s">
        <v>31</v>
      </c>
      <c r="B19">
        <f>HYPERLINK("https://www.suredividend.com/sure-analysis-research-database/","American Woodmark Corp.")</f>
        <v>0</v>
      </c>
      <c r="C19">
        <v>-0.131044945951071</v>
      </c>
      <c r="D19">
        <v>0.010586678429642</v>
      </c>
      <c r="E19">
        <v>-0.019473571581425</v>
      </c>
      <c r="F19">
        <v>-0.297239263803681</v>
      </c>
      <c r="G19">
        <v>-0.322089066429945</v>
      </c>
      <c r="H19">
        <v>-0.501088850174216</v>
      </c>
      <c r="I19">
        <v>-0.5176842105263151</v>
      </c>
    </row>
    <row r="20" spans="1:9">
      <c r="A20" s="1" t="s">
        <v>32</v>
      </c>
      <c r="B20">
        <f>HYPERLINK("https://www.suredividend.com/sure-analysis-research-database/","American Well Corporation")</f>
        <v>0</v>
      </c>
      <c r="C20">
        <v>-0.117782909930715</v>
      </c>
      <c r="D20">
        <v>-0.192389006342494</v>
      </c>
      <c r="E20">
        <v>-0.012919896640826</v>
      </c>
      <c r="F20">
        <v>-0.367549668874172</v>
      </c>
      <c r="G20">
        <v>-0.551116333725029</v>
      </c>
      <c r="H20">
        <v>-0.8830015313935681</v>
      </c>
      <c r="I20">
        <v>-0.834416991764195</v>
      </c>
    </row>
    <row r="21" spans="1:9">
      <c r="A21" s="1" t="s">
        <v>33</v>
      </c>
      <c r="B21">
        <f>HYPERLINK("https://www.suredividend.com/sure-analysis-research-database/","AnaptysBio Inc")</f>
        <v>0</v>
      </c>
      <c r="C21">
        <v>0.00233644859813</v>
      </c>
      <c r="D21">
        <v>0.266732283464566</v>
      </c>
      <c r="E21">
        <v>-0.01868089973313</v>
      </c>
      <c r="F21">
        <v>-0.259280575539568</v>
      </c>
      <c r="G21">
        <v>-0.08169818052087001</v>
      </c>
      <c r="H21">
        <v>0.528503562945368</v>
      </c>
      <c r="I21">
        <v>-0.634426927993182</v>
      </c>
    </row>
    <row r="22" spans="1:9">
      <c r="A22" s="1" t="s">
        <v>34</v>
      </c>
      <c r="B22">
        <f>HYPERLINK("https://www.suredividend.com/sure-analysis-research-database/","American National Group Inc")</f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s="1" t="s">
        <v>35</v>
      </c>
      <c r="B23">
        <f>HYPERLINK("https://www.suredividend.com/sure-analysis-ANDE/","Andersons Inc.")</f>
        <v>0</v>
      </c>
      <c r="C23">
        <v>-0.07899167272655201</v>
      </c>
      <c r="D23">
        <v>0.06442815191727801</v>
      </c>
      <c r="E23">
        <v>-0.390324991430835</v>
      </c>
      <c r="F23">
        <v>-0.146511579124014</v>
      </c>
      <c r="G23">
        <v>0.039892911795995</v>
      </c>
      <c r="H23">
        <v>0.7350191358485331</v>
      </c>
      <c r="I23">
        <v>0.06851284677427201</v>
      </c>
    </row>
    <row r="24" spans="1:9">
      <c r="A24" s="1" t="s">
        <v>36</v>
      </c>
      <c r="B24">
        <f>HYPERLINK("https://www.suredividend.com/sure-analysis-research-database/","Abercrombie &amp; Fitch Co.")</f>
        <v>0</v>
      </c>
      <c r="C24">
        <v>-0.046913580246913</v>
      </c>
      <c r="D24">
        <v>-0.102847181871005</v>
      </c>
      <c r="E24">
        <v>-0.5269607843137251</v>
      </c>
      <c r="F24">
        <v>-0.5567039908125181</v>
      </c>
      <c r="G24">
        <v>-0.60742435799644</v>
      </c>
      <c r="H24">
        <v>-0.05681124007330401</v>
      </c>
      <c r="I24">
        <v>0.265003482036786</v>
      </c>
    </row>
    <row r="25" spans="1:9">
      <c r="A25" s="1" t="s">
        <v>37</v>
      </c>
      <c r="B25">
        <f>HYPERLINK("https://www.suredividend.com/sure-analysis-research-database/","Angion Biomedica Corp")</f>
        <v>0</v>
      </c>
      <c r="C25">
        <v>-0.159466666666666</v>
      </c>
      <c r="D25">
        <v>-0.163185840707964</v>
      </c>
      <c r="E25">
        <v>-0.5601860465116281</v>
      </c>
      <c r="F25">
        <v>-0.673931034482758</v>
      </c>
      <c r="G25">
        <v>-0.8897902097902091</v>
      </c>
      <c r="H25">
        <v>-0.9444418331374851</v>
      </c>
      <c r="I25">
        <v>-0.9444418331374851</v>
      </c>
    </row>
    <row r="26" spans="1:9">
      <c r="A26" s="1" t="s">
        <v>38</v>
      </c>
      <c r="B26">
        <f>HYPERLINK("https://www.suredividend.com/sure-analysis-research-database/","Angiodynamic Inc")</f>
        <v>0</v>
      </c>
      <c r="C26">
        <v>-0.364279398762157</v>
      </c>
      <c r="D26">
        <v>-0.295788442703232</v>
      </c>
      <c r="E26">
        <v>-0.39222316145393</v>
      </c>
      <c r="F26">
        <v>-0.478607686729514</v>
      </c>
      <c r="G26">
        <v>-0.445643793369313</v>
      </c>
      <c r="H26">
        <v>0.237521514629948</v>
      </c>
      <c r="I26">
        <v>-0.140979689366786</v>
      </c>
    </row>
    <row r="27" spans="1:9">
      <c r="A27" s="1" t="s">
        <v>39</v>
      </c>
      <c r="B27">
        <f>HYPERLINK("https://www.suredividend.com/sure-analysis-research-database/","Anika Therapeutics Inc.")</f>
        <v>0</v>
      </c>
      <c r="C27">
        <v>0.05315904139433501</v>
      </c>
      <c r="D27">
        <v>0.066166740185266</v>
      </c>
      <c r="E27">
        <v>-0.00206440957886</v>
      </c>
      <c r="F27">
        <v>-0.325425620987998</v>
      </c>
      <c r="G27">
        <v>-0.410056138638027</v>
      </c>
      <c r="H27">
        <v>-0.369258872651356</v>
      </c>
      <c r="I27">
        <v>-0.591446923597025</v>
      </c>
    </row>
    <row r="28" spans="1:9">
      <c r="A28" s="1" t="s">
        <v>40</v>
      </c>
      <c r="B28">
        <f>HYPERLINK("https://www.suredividend.com/sure-analysis-research-database/","ANI Pharmaceuticals Inc")</f>
        <v>0</v>
      </c>
      <c r="C28">
        <v>-0.134267996764626</v>
      </c>
      <c r="D28">
        <v>0.020985691573926</v>
      </c>
      <c r="E28">
        <v>0.07355399531929101</v>
      </c>
      <c r="F28">
        <v>-0.303168402777777</v>
      </c>
      <c r="G28">
        <v>-0.135898815931108</v>
      </c>
      <c r="H28">
        <v>0.04320987654320901</v>
      </c>
      <c r="I28">
        <v>-0.404267161410018</v>
      </c>
    </row>
    <row r="29" spans="1:9">
      <c r="A29" s="1" t="s">
        <v>41</v>
      </c>
      <c r="B29">
        <f>HYPERLINK("https://www.suredividend.com/sure-analysis-research-database/","Annexon Inc")</f>
        <v>0</v>
      </c>
      <c r="C29">
        <v>-0.029457364341085</v>
      </c>
      <c r="D29">
        <v>0.37885462555066</v>
      </c>
      <c r="E29">
        <v>1.416988416988417</v>
      </c>
      <c r="F29">
        <v>-0.4551784160139251</v>
      </c>
      <c r="G29">
        <v>-0.6897918731417241</v>
      </c>
      <c r="H29">
        <v>-0.7754662840746051</v>
      </c>
      <c r="I29">
        <v>-0.6475225225225221</v>
      </c>
    </row>
    <row r="30" spans="1:9">
      <c r="A30" s="1" t="s">
        <v>42</v>
      </c>
      <c r="B30">
        <f>HYPERLINK("https://www.suredividend.com/sure-analysis-research-database/","Angel Oak Mortgage Inc")</f>
        <v>0</v>
      </c>
      <c r="C30">
        <v>-0.235855487389229</v>
      </c>
      <c r="D30">
        <v>-0.143313489182517</v>
      </c>
      <c r="E30">
        <v>-0.285509417126103</v>
      </c>
      <c r="F30">
        <v>-0.249906321931374</v>
      </c>
      <c r="G30">
        <v>-0.28998505231689</v>
      </c>
      <c r="H30">
        <v>-0.322912262475688</v>
      </c>
      <c r="I30">
        <v>-0.322912262475688</v>
      </c>
    </row>
    <row r="31" spans="1:9">
      <c r="A31" s="1" t="s">
        <v>43</v>
      </c>
      <c r="B31">
        <f>HYPERLINK("https://www.suredividend.com/sure-analysis-research-database/","Artivion Inc")</f>
        <v>0</v>
      </c>
      <c r="C31">
        <v>-0.4898876404494381</v>
      </c>
      <c r="D31">
        <v>-0.4051362683438151</v>
      </c>
      <c r="E31">
        <v>-0.488277727682596</v>
      </c>
      <c r="F31">
        <v>-0.442260442260442</v>
      </c>
      <c r="G31">
        <v>-0.4786403307303621</v>
      </c>
      <c r="H31">
        <v>-0.412221646815121</v>
      </c>
      <c r="I31">
        <v>-0.5128755364806861</v>
      </c>
    </row>
    <row r="32" spans="1:9">
      <c r="A32" s="1" t="s">
        <v>44</v>
      </c>
      <c r="B32">
        <f>HYPERLINK("https://www.suredividend.com/sure-analysis-research-database/","Alpha &amp; Omega Semiconductor Ltd")</f>
        <v>0</v>
      </c>
      <c r="C32">
        <v>-0.151685393258427</v>
      </c>
      <c r="D32">
        <v>-0.129432113000864</v>
      </c>
      <c r="E32">
        <v>-0.328590484659848</v>
      </c>
      <c r="F32">
        <v>-0.501321003963011</v>
      </c>
      <c r="G32">
        <v>-0.04218204884237201</v>
      </c>
      <c r="H32">
        <v>0.845965770171149</v>
      </c>
      <c r="I32">
        <v>0.7257142857142851</v>
      </c>
    </row>
    <row r="33" spans="1:9">
      <c r="A33" s="1" t="s">
        <v>45</v>
      </c>
      <c r="B33">
        <f>HYPERLINK("https://www.suredividend.com/sure-analysis-research-database/","American Outdoor Brands Inc")</f>
        <v>0</v>
      </c>
      <c r="C33">
        <v>0.065011820330969</v>
      </c>
      <c r="D33">
        <v>-0.044538706256627</v>
      </c>
      <c r="E33">
        <v>-0.3399267399267391</v>
      </c>
      <c r="F33">
        <v>-0.547917711991971</v>
      </c>
      <c r="G33">
        <v>-0.6326946596004891</v>
      </c>
      <c r="H33">
        <v>-0.399733510992671</v>
      </c>
      <c r="I33">
        <v>-0.493250843644544</v>
      </c>
    </row>
    <row r="34" spans="1:9">
      <c r="A34" s="1" t="s">
        <v>46</v>
      </c>
      <c r="B34">
        <f>HYPERLINK("https://www.suredividend.com/sure-analysis-APAM/","Artisan Partners Asset Management Inc")</f>
        <v>0</v>
      </c>
      <c r="C34">
        <v>-0.212112259970457</v>
      </c>
      <c r="D34">
        <v>-0.263459063568426</v>
      </c>
      <c r="E34">
        <v>-0.278623786210813</v>
      </c>
      <c r="F34">
        <v>-0.404191436173421</v>
      </c>
      <c r="G34">
        <v>-0.422597294629093</v>
      </c>
      <c r="H34">
        <v>-0.301647817878549</v>
      </c>
      <c r="I34">
        <v>0.114230566766099</v>
      </c>
    </row>
    <row r="35" spans="1:9">
      <c r="A35" s="1" t="s">
        <v>47</v>
      </c>
      <c r="B35">
        <f>HYPERLINK("https://www.suredividend.com/sure-analysis-research-database/","American Public Education Inc")</f>
        <v>0</v>
      </c>
      <c r="C35">
        <v>0.168965517241379</v>
      </c>
      <c r="D35">
        <v>-0.323353293413173</v>
      </c>
      <c r="E35">
        <v>-0.535616438356164</v>
      </c>
      <c r="F35">
        <v>-0.542921348314606</v>
      </c>
      <c r="G35">
        <v>-0.613160897679726</v>
      </c>
      <c r="H35">
        <v>-0.6626865671641791</v>
      </c>
      <c r="I35">
        <v>-0.5168646080760091</v>
      </c>
    </row>
    <row r="36" spans="1:9">
      <c r="A36" s="1" t="s">
        <v>48</v>
      </c>
      <c r="B36">
        <f>HYPERLINK("https://www.suredividend.com/sure-analysis-research-database/","APi Group Corporation")</f>
        <v>0</v>
      </c>
      <c r="C36">
        <v>-0.12616532007458</v>
      </c>
      <c r="D36">
        <v>-0.06887417218543</v>
      </c>
      <c r="E36">
        <v>-0.285931945149822</v>
      </c>
      <c r="F36">
        <v>-0.4544043461389211</v>
      </c>
      <c r="G36">
        <v>-0.316812439261418</v>
      </c>
      <c r="H36">
        <v>-0.056375838926174</v>
      </c>
      <c r="I36">
        <v>0.351923076923077</v>
      </c>
    </row>
    <row r="37" spans="1:9">
      <c r="A37" s="1" t="s">
        <v>49</v>
      </c>
      <c r="B37">
        <f>HYPERLINK("https://www.suredividend.com/sure-analysis-APLE/","Apple Hospitality REIT Inc")</f>
        <v>0</v>
      </c>
      <c r="C37">
        <v>-0.09263347740912301</v>
      </c>
      <c r="D37">
        <v>-0.019120098961974</v>
      </c>
      <c r="E37">
        <v>-0.08476149850701301</v>
      </c>
      <c r="F37">
        <v>-0.071664450284099</v>
      </c>
      <c r="G37">
        <v>-0.07281485529811001</v>
      </c>
      <c r="H37">
        <v>0.393079479051292</v>
      </c>
      <c r="I37">
        <v>-0.05646955352061601</v>
      </c>
    </row>
    <row r="38" spans="1:9">
      <c r="A38" s="1" t="s">
        <v>50</v>
      </c>
      <c r="B38">
        <f>HYPERLINK("https://www.suredividend.com/sure-analysis-research-database/","Apellis Pharmaceuticals Inc")</f>
        <v>0</v>
      </c>
      <c r="C38">
        <v>-0.142962853337279</v>
      </c>
      <c r="D38">
        <v>0.182802287581699</v>
      </c>
      <c r="E38">
        <v>0.06726870622926601</v>
      </c>
      <c r="F38">
        <v>0.224830795262267</v>
      </c>
      <c r="G38">
        <v>0.7448026514010241</v>
      </c>
      <c r="H38">
        <v>0.5957564067236151</v>
      </c>
      <c r="I38">
        <v>3.127583749109052</v>
      </c>
    </row>
    <row r="39" spans="1:9">
      <c r="A39" s="1" t="s">
        <v>51</v>
      </c>
      <c r="B39">
        <f>HYPERLINK("https://www.suredividend.com/sure-analysis-research-database/","Applied Therapeutics Inc")</f>
        <v>0</v>
      </c>
      <c r="C39">
        <v>-0.5707534246575341</v>
      </c>
      <c r="D39">
        <v>-0.335559796437659</v>
      </c>
      <c r="E39">
        <v>-0.7472983870967741</v>
      </c>
      <c r="F39">
        <v>-0.929977653631284</v>
      </c>
      <c r="G39">
        <v>-0.9630265486725661</v>
      </c>
      <c r="H39">
        <v>-0.9725853018372701</v>
      </c>
      <c r="I39">
        <v>-0.933329787234042</v>
      </c>
    </row>
    <row r="40" spans="1:9">
      <c r="A40" s="1" t="s">
        <v>52</v>
      </c>
      <c r="B40">
        <f>HYPERLINK("https://www.suredividend.com/sure-analysis-APOG/","Apogee Enterprises Inc.")</f>
        <v>0</v>
      </c>
      <c r="C40">
        <v>0.027191065792668</v>
      </c>
      <c r="D40">
        <v>0.104411380840511</v>
      </c>
      <c r="E40">
        <v>-0.019169203164807</v>
      </c>
      <c r="F40">
        <v>-0.107299216170311</v>
      </c>
      <c r="G40">
        <v>0.103363027559301</v>
      </c>
      <c r="H40">
        <v>0.7367425097591711</v>
      </c>
      <c r="I40">
        <v>-0.032633473031028</v>
      </c>
    </row>
    <row r="41" spans="1:9">
      <c r="A41" s="1" t="s">
        <v>53</v>
      </c>
      <c r="B41">
        <f>HYPERLINK("https://www.suredividend.com/sure-analysis-research-database/","Appfolio Inc")</f>
        <v>0</v>
      </c>
      <c r="C41">
        <v>0.119884783472387</v>
      </c>
      <c r="D41">
        <v>0.121332670313277</v>
      </c>
      <c r="E41">
        <v>8.8699662941E-05</v>
      </c>
      <c r="F41">
        <v>-0.068643647777961</v>
      </c>
      <c r="G41">
        <v>-0.123386720572228</v>
      </c>
      <c r="H41">
        <v>-0.313797090864828</v>
      </c>
      <c r="I41">
        <v>1.215127701375245</v>
      </c>
    </row>
    <row r="42" spans="1:9">
      <c r="A42" s="1" t="s">
        <v>54</v>
      </c>
      <c r="B42">
        <f>HYPERLINK("https://www.suredividend.com/sure-analysis-research-database/","AppHarvest Inc")</f>
        <v>0</v>
      </c>
      <c r="C42">
        <v>-0.372262773722627</v>
      </c>
      <c r="D42">
        <v>-0.631691648822269</v>
      </c>
      <c r="E42">
        <v>-0.6099773242630381</v>
      </c>
      <c r="F42">
        <v>-0.557840616966581</v>
      </c>
      <c r="G42">
        <v>-0.7008695652173911</v>
      </c>
      <c r="H42">
        <v>-0.836501901140684</v>
      </c>
      <c r="I42">
        <v>-0.8281718281718281</v>
      </c>
    </row>
    <row r="43" spans="1:9">
      <c r="A43" s="1" t="s">
        <v>55</v>
      </c>
      <c r="B43">
        <f>HYPERLINK("https://www.suredividend.com/sure-analysis-research-database/","Appian Corp")</f>
        <v>0</v>
      </c>
      <c r="C43">
        <v>-0.151746031746031</v>
      </c>
      <c r="D43">
        <v>-0.254186825455898</v>
      </c>
      <c r="E43">
        <v>-0.259560317753556</v>
      </c>
      <c r="F43">
        <v>-0.38537034197209</v>
      </c>
      <c r="G43">
        <v>-0.5605744984102621</v>
      </c>
      <c r="H43">
        <v>-0.480761756704236</v>
      </c>
      <c r="I43">
        <v>0.7209102619149851</v>
      </c>
    </row>
    <row r="44" spans="1:9">
      <c r="A44" s="1" t="s">
        <v>56</v>
      </c>
      <c r="B44">
        <f>HYPERLINK("https://www.suredividend.com/sure-analysis-research-database/","Digital Turbine Inc")</f>
        <v>0</v>
      </c>
      <c r="C44">
        <v>-0.270800211976682</v>
      </c>
      <c r="D44">
        <v>-0.214163335237007</v>
      </c>
      <c r="E44">
        <v>-0.64554353426069</v>
      </c>
      <c r="F44">
        <v>-0.7743892441383831</v>
      </c>
      <c r="G44">
        <v>-0.8237027546444581</v>
      </c>
      <c r="H44">
        <v>-0.6222893219873731</v>
      </c>
      <c r="I44">
        <v>7.6</v>
      </c>
    </row>
    <row r="45" spans="1:9">
      <c r="A45" s="1" t="s">
        <v>57</v>
      </c>
      <c r="B45">
        <f>HYPERLINK("https://www.suredividend.com/sure-analysis-APTS/","Preferred Apartment Communities Inc")</f>
        <v>0</v>
      </c>
      <c r="C45">
        <v>0.003613006824568</v>
      </c>
      <c r="D45">
        <v>0.008471157724889001</v>
      </c>
      <c r="E45">
        <v>0.528472383560973</v>
      </c>
      <c r="F45">
        <v>0.393906953923011</v>
      </c>
      <c r="G45">
        <v>1.526503016644602</v>
      </c>
      <c r="H45">
        <v>2.806449648284052</v>
      </c>
      <c r="I45">
        <v>1.152871068857428</v>
      </c>
    </row>
    <row r="46" spans="1:9">
      <c r="A46" s="1" t="s">
        <v>58</v>
      </c>
      <c r="B46">
        <f>HYPERLINK("https://www.suredividend.com/sure-analysis-research-database/","Apyx Medical Corp")</f>
        <v>0</v>
      </c>
      <c r="C46">
        <v>-0.314696485623003</v>
      </c>
      <c r="D46">
        <v>-0.38095238095238</v>
      </c>
      <c r="E46">
        <v>-0.25391304347826</v>
      </c>
      <c r="F46">
        <v>-0.665366614664586</v>
      </c>
      <c r="G46">
        <v>-0.6880000000000001</v>
      </c>
      <c r="H46">
        <v>-0.229802513464991</v>
      </c>
      <c r="I46">
        <v>0.3</v>
      </c>
    </row>
    <row r="47" spans="1:9">
      <c r="A47" s="1" t="s">
        <v>59</v>
      </c>
      <c r="B47">
        <f>HYPERLINK("https://www.suredividend.com/sure-analysis-research-database/","AquaBounty Technologies Inc")</f>
        <v>0</v>
      </c>
      <c r="C47">
        <v>-0.466283185840708</v>
      </c>
      <c r="D47">
        <v>-0.643136094674556</v>
      </c>
      <c r="E47">
        <v>-0.664944444444444</v>
      </c>
      <c r="F47">
        <v>-0.712809523809523</v>
      </c>
      <c r="G47">
        <v>-0.8453589743589741</v>
      </c>
      <c r="H47">
        <v>-0.8697408207343411</v>
      </c>
      <c r="I47">
        <v>-0.9151758087201121</v>
      </c>
    </row>
    <row r="48" spans="1:9">
      <c r="A48" s="1" t="s">
        <v>60</v>
      </c>
      <c r="B48">
        <f>HYPERLINK("https://www.suredividend.com/sure-analysis-research-database/","Evoqua Water Technologies Corp")</f>
        <v>0</v>
      </c>
      <c r="C48">
        <v>-0.08856289051888001</v>
      </c>
      <c r="D48">
        <v>-0.02300524170064</v>
      </c>
      <c r="E48">
        <v>-0.254278728606357</v>
      </c>
      <c r="F48">
        <v>-0.28235294117647</v>
      </c>
      <c r="G48">
        <v>-0.105571847507331</v>
      </c>
      <c r="H48">
        <v>0.397916666666666</v>
      </c>
      <c r="I48">
        <v>0.6068007662835241</v>
      </c>
    </row>
    <row r="49" spans="1:9">
      <c r="A49" s="1" t="s">
        <v>61</v>
      </c>
      <c r="B49">
        <f>HYPERLINK("https://www.suredividend.com/sure-analysis-research-database/","Antero Resources Corp")</f>
        <v>0</v>
      </c>
      <c r="C49">
        <v>-0.17315369261477</v>
      </c>
      <c r="D49">
        <v>0.069032258064516</v>
      </c>
      <c r="E49">
        <v>0</v>
      </c>
      <c r="F49">
        <v>0.893714285714285</v>
      </c>
      <c r="G49">
        <v>0.614223088163662</v>
      </c>
      <c r="H49">
        <v>7.932614555256064</v>
      </c>
      <c r="I49">
        <v>0.6293018682399211</v>
      </c>
    </row>
    <row r="50" spans="1:9">
      <c r="A50" s="1" t="s">
        <v>62</v>
      </c>
      <c r="B50">
        <f>HYPERLINK("https://www.suredividend.com/sure-analysis-research-database/","Accuray Inc")</f>
        <v>0</v>
      </c>
      <c r="C50">
        <v>-0.163865546218487</v>
      </c>
      <c r="D50">
        <v>-0.08715596330275201</v>
      </c>
      <c r="E50">
        <v>-0.374213836477987</v>
      </c>
      <c r="F50">
        <v>-0.582809224318658</v>
      </c>
      <c r="G50">
        <v>-0.4897435897435891</v>
      </c>
      <c r="H50">
        <v>-0.271062271062271</v>
      </c>
      <c r="I50">
        <v>-0.531764705882352</v>
      </c>
    </row>
    <row r="51" spans="1:9">
      <c r="A51" s="1" t="s">
        <v>63</v>
      </c>
      <c r="B51">
        <f>HYPERLINK("https://www.suredividend.com/sure-analysis-research-database/","ArcBest Corp")</f>
        <v>0</v>
      </c>
      <c r="C51">
        <v>0.016631744368779</v>
      </c>
      <c r="D51">
        <v>0.019748681801105</v>
      </c>
      <c r="E51">
        <v>0.14175365006714</v>
      </c>
      <c r="F51">
        <v>-0.349813436742283</v>
      </c>
      <c r="G51">
        <v>-0.109707888311518</v>
      </c>
      <c r="H51">
        <v>1.241089626263734</v>
      </c>
      <c r="I51">
        <v>1.515814990536931</v>
      </c>
    </row>
    <row r="52" spans="1:9">
      <c r="A52" s="1" t="s">
        <v>64</v>
      </c>
      <c r="B52">
        <f>HYPERLINK("https://www.suredividend.com/sure-analysis-research-database/","Arch Resources Inc")</f>
        <v>0</v>
      </c>
      <c r="C52">
        <v>0.035018050541516</v>
      </c>
      <c r="D52">
        <v>0.07032326226466501</v>
      </c>
      <c r="E52">
        <v>0.019378502669157</v>
      </c>
      <c r="F52">
        <v>0.6326674722754041</v>
      </c>
      <c r="G52">
        <v>0.5870731315770531</v>
      </c>
      <c r="H52">
        <v>2.714076960545542</v>
      </c>
      <c r="I52">
        <v>1.219222320097469</v>
      </c>
    </row>
    <row r="53" spans="1:9">
      <c r="A53" s="1" t="s">
        <v>65</v>
      </c>
      <c r="B53">
        <f>HYPERLINK("https://www.suredividend.com/sure-analysis-research-database/","Arcturus Therapeutics Holdings Inc")</f>
        <v>0</v>
      </c>
      <c r="C53">
        <v>-0.05055087491898801</v>
      </c>
      <c r="D53">
        <v>-0.231374606505771</v>
      </c>
      <c r="E53">
        <v>-0.456803856136447</v>
      </c>
      <c r="F53">
        <v>-0.604161037557416</v>
      </c>
      <c r="G53">
        <v>-0.65382797731569</v>
      </c>
      <c r="H53">
        <v>-0.713419405320813</v>
      </c>
      <c r="I53">
        <v>1.110951008645533</v>
      </c>
    </row>
    <row r="54" spans="1:9">
      <c r="A54" s="1" t="s">
        <v>66</v>
      </c>
      <c r="B54">
        <f>HYPERLINK("https://www.suredividend.com/sure-analysis-research-database/","Ardelyx Inc")</f>
        <v>0</v>
      </c>
      <c r="C54">
        <v>0.1015625</v>
      </c>
      <c r="D54">
        <v>1.014285714285714</v>
      </c>
      <c r="E54">
        <v>0.465544122232616</v>
      </c>
      <c r="F54">
        <v>0.281818181818181</v>
      </c>
      <c r="G54">
        <v>0.127999999999999</v>
      </c>
      <c r="H54">
        <v>-0.7564766839378231</v>
      </c>
      <c r="I54">
        <v>-0.738888888888888</v>
      </c>
    </row>
    <row r="55" spans="1:9">
      <c r="A55" s="1" t="s">
        <v>67</v>
      </c>
      <c r="B55">
        <f>HYPERLINK("https://www.suredividend.com/sure-analysis-research-database/","Argo Group International Holdings Ltd")</f>
        <v>0</v>
      </c>
      <c r="C55">
        <v>-0.022232304900181</v>
      </c>
      <c r="D55">
        <v>-0.358587046137086</v>
      </c>
      <c r="E55">
        <v>-0.4760782940817511</v>
      </c>
      <c r="F55">
        <v>-0.6178908639567351</v>
      </c>
      <c r="G55">
        <v>-0.60197553119182</v>
      </c>
      <c r="H55">
        <v>-0.378464591228707</v>
      </c>
      <c r="I55">
        <v>-0.604277112526695</v>
      </c>
    </row>
    <row r="56" spans="1:9">
      <c r="A56" s="1" t="s">
        <v>68</v>
      </c>
      <c r="B56">
        <f>HYPERLINK("https://www.suredividend.com/sure-analysis-ARI/","Apollo Commercial Real Estate Finance Inc")</f>
        <v>0</v>
      </c>
      <c r="C56">
        <v>-0.23259421480062</v>
      </c>
      <c r="D56">
        <v>-0.186858236806992</v>
      </c>
      <c r="E56">
        <v>-0.327054643803061</v>
      </c>
      <c r="F56">
        <v>-0.2973338792015841</v>
      </c>
      <c r="G56">
        <v>-0.372200656912511</v>
      </c>
      <c r="H56">
        <v>0.135734446110008</v>
      </c>
      <c r="I56">
        <v>-0.188216102472031</v>
      </c>
    </row>
    <row r="57" spans="1:9">
      <c r="A57" s="1" t="s">
        <v>69</v>
      </c>
      <c r="B57">
        <f>HYPERLINK("https://www.suredividend.com/sure-analysis-research-database/","Aris Water Solutions Inc")</f>
        <v>0</v>
      </c>
      <c r="C57">
        <v>-0.177146311970979</v>
      </c>
      <c r="D57">
        <v>-0.198633968263314</v>
      </c>
      <c r="E57">
        <v>-0.240403183497605</v>
      </c>
      <c r="F57">
        <v>0.07303074024141201</v>
      </c>
      <c r="G57">
        <v>-0.028266659050828</v>
      </c>
      <c r="H57">
        <v>-0.028266659050828</v>
      </c>
      <c r="I57">
        <v>-0.028266659050828</v>
      </c>
    </row>
    <row r="58" spans="1:9">
      <c r="A58" s="1" t="s">
        <v>70</v>
      </c>
      <c r="B58">
        <f>HYPERLINK("https://www.suredividend.com/sure-analysis-research-database/","ARKO Corp")</f>
        <v>0</v>
      </c>
      <c r="C58">
        <v>-0.09546769527483101</v>
      </c>
      <c r="D58">
        <v>0.081542293146388</v>
      </c>
      <c r="E58">
        <v>0.030610675280726</v>
      </c>
      <c r="F58">
        <v>0.076688208083196</v>
      </c>
      <c r="G58">
        <v>-0.066025430394997</v>
      </c>
      <c r="H58">
        <v>-0.07036669970267501</v>
      </c>
      <c r="I58">
        <v>-0.052525252525252</v>
      </c>
    </row>
    <row r="59" spans="1:9">
      <c r="A59" s="1" t="s">
        <v>71</v>
      </c>
      <c r="B59">
        <f>HYPERLINK("https://www.suredividend.com/sure-analysis-research-database/","Arlo Technologies Inc")</f>
        <v>0</v>
      </c>
      <c r="C59">
        <v>-0.199294532627865</v>
      </c>
      <c r="D59">
        <v>-0.296124031007752</v>
      </c>
      <c r="E59">
        <v>-0.457586618876941</v>
      </c>
      <c r="F59">
        <v>-0.5672068636796951</v>
      </c>
      <c r="G59">
        <v>-0.293934681181959</v>
      </c>
      <c r="H59">
        <v>-0.209059233449477</v>
      </c>
      <c r="I59">
        <v>-0.7945701357466061</v>
      </c>
    </row>
    <row r="60" spans="1:9">
      <c r="A60" s="1" t="s">
        <v>72</v>
      </c>
      <c r="B60">
        <f>HYPERLINK("https://www.suredividend.com/sure-analysis-research-database/","Arconic Corporation")</f>
        <v>0</v>
      </c>
      <c r="C60">
        <v>-0.251126126126126</v>
      </c>
      <c r="D60">
        <v>-0.288008565310492</v>
      </c>
      <c r="E60">
        <v>-0.202319072371051</v>
      </c>
      <c r="F60">
        <v>-0.395637685549833</v>
      </c>
      <c r="G60">
        <v>-0.359756097560975</v>
      </c>
      <c r="H60">
        <v>-0.11998235553595</v>
      </c>
      <c r="I60">
        <v>1.882947976878612</v>
      </c>
    </row>
    <row r="61" spans="1:9">
      <c r="A61" s="1" t="s">
        <v>73</v>
      </c>
      <c r="B61">
        <f>HYPERLINK("https://www.suredividend.com/sure-analysis-research-database/","Archrock Inc")</f>
        <v>0</v>
      </c>
      <c r="C61">
        <v>-0.08187919463087201</v>
      </c>
      <c r="D61">
        <v>-0.145651440776408</v>
      </c>
      <c r="E61">
        <v>-0.242877067144849</v>
      </c>
      <c r="F61">
        <v>-0.035927215323683</v>
      </c>
      <c r="G61">
        <v>-0.146312544462888</v>
      </c>
      <c r="H61">
        <v>0.34945844102038</v>
      </c>
      <c r="I61">
        <v>-0.245058110658587</v>
      </c>
    </row>
    <row r="62" spans="1:9">
      <c r="A62" s="1" t="s">
        <v>74</v>
      </c>
      <c r="B62">
        <f>HYPERLINK("https://www.suredividend.com/sure-analysis-AROW/","Arrow Financial Corp.")</f>
        <v>0</v>
      </c>
      <c r="C62">
        <v>-0.079883422429499</v>
      </c>
      <c r="D62">
        <v>-0.043112478614516</v>
      </c>
      <c r="E62">
        <v>-0.03579535302331401</v>
      </c>
      <c r="F62">
        <v>-0.134214568607701</v>
      </c>
      <c r="G62">
        <v>-0.142726858185134</v>
      </c>
      <c r="H62">
        <v>0.192400391192441</v>
      </c>
      <c r="I62">
        <v>0.108271340118357</v>
      </c>
    </row>
    <row r="63" spans="1:9">
      <c r="A63" s="1" t="s">
        <v>75</v>
      </c>
      <c r="B63">
        <f>HYPERLINK("https://www.suredividend.com/sure-analysis-research-database/","Arcutis Biotherapeutics Inc")</f>
        <v>0</v>
      </c>
      <c r="C63">
        <v>-0.06803720019579</v>
      </c>
      <c r="D63">
        <v>-0.253333333333333</v>
      </c>
      <c r="E63">
        <v>-0.09805779251539501</v>
      </c>
      <c r="F63">
        <v>-0.08196721311475401</v>
      </c>
      <c r="G63">
        <v>-0.147717099373321</v>
      </c>
      <c r="H63">
        <v>-0.211267605633802</v>
      </c>
      <c r="I63">
        <v>-0.126605504587156</v>
      </c>
    </row>
    <row r="64" spans="1:9">
      <c r="A64" s="1" t="s">
        <v>76</v>
      </c>
      <c r="B64">
        <f>HYPERLINK("https://www.suredividend.com/sure-analysis-ARR/","ARMOUR Residential REIT Inc")</f>
        <v>0</v>
      </c>
      <c r="C64">
        <v>-0.364430665163472</v>
      </c>
      <c r="D64">
        <v>-0.339610208952601</v>
      </c>
      <c r="E64">
        <v>-0.401459854014598</v>
      </c>
      <c r="F64">
        <v>-0.484105649672275</v>
      </c>
      <c r="G64">
        <v>-0.524407090657921</v>
      </c>
      <c r="H64">
        <v>-0.414680994652961</v>
      </c>
      <c r="I64">
        <v>-0.706336235243558</v>
      </c>
    </row>
    <row r="65" spans="1:9">
      <c r="A65" s="1" t="s">
        <v>77</v>
      </c>
      <c r="B65">
        <f>HYPERLINK("https://www.suredividend.com/sure-analysis-research-database/","Array Technologies Inc")</f>
        <v>0</v>
      </c>
      <c r="C65">
        <v>-0.200670498084291</v>
      </c>
      <c r="D65">
        <v>0.334132693844924</v>
      </c>
      <c r="E65">
        <v>0.7984913793103451</v>
      </c>
      <c r="F65">
        <v>0.06373486297004401</v>
      </c>
      <c r="G65">
        <v>-0.092441544317563</v>
      </c>
      <c r="H65">
        <v>-0.542112482853223</v>
      </c>
      <c r="I65">
        <v>-0.542112482853223</v>
      </c>
    </row>
    <row r="66" spans="1:9">
      <c r="A66" s="1" t="s">
        <v>78</v>
      </c>
      <c r="B66">
        <f>HYPERLINK("https://www.suredividend.com/sure-analysis-ARTNA/","Artesian Resources Corp.")</f>
        <v>0</v>
      </c>
      <c r="C66">
        <v>-0.142910239732391</v>
      </c>
      <c r="D66">
        <v>-0.080247048992998</v>
      </c>
      <c r="E66">
        <v>-0.023913278123339</v>
      </c>
      <c r="F66">
        <v>0.012420369581728</v>
      </c>
      <c r="G66">
        <v>0.233412315937548</v>
      </c>
      <c r="H66">
        <v>0.392659248410912</v>
      </c>
      <c r="I66">
        <v>0.300884556367903</v>
      </c>
    </row>
    <row r="67" spans="1:9">
      <c r="A67" s="1" t="s">
        <v>79</v>
      </c>
      <c r="B67">
        <f>HYPERLINK("https://www.suredividend.com/sure-analysis-research-database/","Arvinas Inc")</f>
        <v>0</v>
      </c>
      <c r="C67">
        <v>-0.207882376965489</v>
      </c>
      <c r="D67">
        <v>-0.257038881440337</v>
      </c>
      <c r="E67">
        <v>-0.415989159891598</v>
      </c>
      <c r="F67">
        <v>-0.527757487216946</v>
      </c>
      <c r="G67">
        <v>-0.5283890577507599</v>
      </c>
      <c r="H67">
        <v>0.53562945368171</v>
      </c>
      <c r="I67">
        <v>1.416822429906541</v>
      </c>
    </row>
    <row r="68" spans="1:9">
      <c r="A68" s="1" t="s">
        <v>80</v>
      </c>
      <c r="B68">
        <f>HYPERLINK("https://www.suredividend.com/sure-analysis-research-database/","Arrowhead Pharmaceuticals Inc.")</f>
        <v>0</v>
      </c>
      <c r="C68">
        <v>-0.209489240342234</v>
      </c>
      <c r="D68">
        <v>-0.269350587107596</v>
      </c>
      <c r="E68">
        <v>-0.368082901554404</v>
      </c>
      <c r="F68">
        <v>-0.5401206636500751</v>
      </c>
      <c r="G68">
        <v>-0.494612962042101</v>
      </c>
      <c r="H68">
        <v>-0.337893593919652</v>
      </c>
      <c r="I68">
        <v>6.641604010025062</v>
      </c>
    </row>
    <row r="69" spans="1:9">
      <c r="A69" s="1" t="s">
        <v>81</v>
      </c>
      <c r="B69">
        <f>HYPERLINK("https://www.suredividend.com/sure-analysis-research-database/","Asana Inc")</f>
        <v>0</v>
      </c>
      <c r="C69">
        <v>-0.100567721005677</v>
      </c>
      <c r="D69">
        <v>0.09422792303897301</v>
      </c>
      <c r="E69">
        <v>-0.355794365379029</v>
      </c>
      <c r="F69">
        <v>-0.702481556002682</v>
      </c>
      <c r="G69">
        <v>-0.7896633475580841</v>
      </c>
      <c r="H69">
        <v>-0.136964980544747</v>
      </c>
      <c r="I69">
        <v>-0.229861111111111</v>
      </c>
    </row>
    <row r="70" spans="1:9">
      <c r="A70" s="1" t="s">
        <v>82</v>
      </c>
      <c r="B70">
        <f>HYPERLINK("https://www.suredividend.com/sure-analysis-ASB/","Associated Banc-Corp.")</f>
        <v>0</v>
      </c>
      <c r="C70">
        <v>0.017900338655055</v>
      </c>
      <c r="D70">
        <v>0.146138048623708</v>
      </c>
      <c r="E70">
        <v>-0.016689177505362</v>
      </c>
      <c r="F70">
        <v>-0.05172258378553701</v>
      </c>
      <c r="G70">
        <v>-0.02820694019131</v>
      </c>
      <c r="H70">
        <v>0.594809289915711</v>
      </c>
      <c r="I70">
        <v>-0.006004601480599001</v>
      </c>
    </row>
    <row r="71" spans="1:9">
      <c r="A71" s="1" t="s">
        <v>83</v>
      </c>
      <c r="B71">
        <f>HYPERLINK("https://www.suredividend.com/sure-analysis-research-database/","ASGN Inc")</f>
        <v>0</v>
      </c>
      <c r="C71">
        <v>-0.048887977862047</v>
      </c>
      <c r="D71">
        <v>-0.0008613264427210001</v>
      </c>
      <c r="E71">
        <v>-0.178615684191892</v>
      </c>
      <c r="F71">
        <v>-0.247974068071312</v>
      </c>
      <c r="G71">
        <v>-0.247669233887312</v>
      </c>
      <c r="H71">
        <v>0.339685289447091</v>
      </c>
      <c r="I71">
        <v>0.663082437275985</v>
      </c>
    </row>
    <row r="72" spans="1:9">
      <c r="A72" s="1" t="s">
        <v>84</v>
      </c>
      <c r="B72">
        <f>HYPERLINK("https://www.suredividend.com/sure-analysis-research-database/","AdvanSix Inc")</f>
        <v>0</v>
      </c>
      <c r="C72">
        <v>-0.122072196197299</v>
      </c>
      <c r="D72">
        <v>-0.071551173966131</v>
      </c>
      <c r="E72">
        <v>-0.346069851069768</v>
      </c>
      <c r="F72">
        <v>-0.319238042328607</v>
      </c>
      <c r="G72">
        <v>-0.270529244084212</v>
      </c>
      <c r="H72">
        <v>1.250508589511754</v>
      </c>
      <c r="I72">
        <v>-0.268544665610579</v>
      </c>
    </row>
    <row r="73" spans="1:9">
      <c r="A73" s="1" t="s">
        <v>85</v>
      </c>
      <c r="B73">
        <f>HYPERLINK("https://www.suredividend.com/sure-analysis-research-database/","AerSale Corp")</f>
        <v>0</v>
      </c>
      <c r="C73">
        <v>-0.121455576559546</v>
      </c>
      <c r="D73">
        <v>0.179568527918781</v>
      </c>
      <c r="E73">
        <v>0.19703799098519</v>
      </c>
      <c r="F73">
        <v>0.047914317925591</v>
      </c>
      <c r="G73">
        <v>0.07332563510392501</v>
      </c>
      <c r="H73">
        <v>0.8172043010752681</v>
      </c>
      <c r="I73">
        <v>0.9204545454545451</v>
      </c>
    </row>
    <row r="74" spans="1:9">
      <c r="A74" s="1" t="s">
        <v>86</v>
      </c>
      <c r="B74">
        <f>HYPERLINK("https://www.suredividend.com/sure-analysis-research-database/","Academy Sports and Outdoors Inc")</f>
        <v>0</v>
      </c>
      <c r="C74">
        <v>-0.114852889762808</v>
      </c>
      <c r="D74">
        <v>0.150179879730048</v>
      </c>
      <c r="E74">
        <v>0.137789415441205</v>
      </c>
      <c r="F74">
        <v>0.003565176746615</v>
      </c>
      <c r="G74">
        <v>0.083000356054911</v>
      </c>
      <c r="H74">
        <v>2.312510398862553</v>
      </c>
      <c r="I74">
        <v>2.391562906522951</v>
      </c>
    </row>
    <row r="75" spans="1:9">
      <c r="A75" s="1" t="s">
        <v>87</v>
      </c>
      <c r="B75">
        <f>HYPERLINK("https://www.suredividend.com/sure-analysis-research-database/","Aspen Aerogels Inc.")</f>
        <v>0</v>
      </c>
      <c r="C75">
        <v>-0.304023845007451</v>
      </c>
      <c r="D75">
        <v>-0.132776230269266</v>
      </c>
      <c r="E75">
        <v>-0.6730836541827091</v>
      </c>
      <c r="F75">
        <v>-0.81241213094999</v>
      </c>
      <c r="G75">
        <v>-0.8041107382550331</v>
      </c>
      <c r="H75">
        <v>-0.166815343443354</v>
      </c>
      <c r="I75">
        <v>1.103603603603603</v>
      </c>
    </row>
    <row r="76" spans="1:9">
      <c r="A76" s="1" t="s">
        <v>88</v>
      </c>
      <c r="B76">
        <f>HYPERLINK("https://www.suredividend.com/sure-analysis-research-database/","Astec Industries Inc.")</f>
        <v>0</v>
      </c>
      <c r="C76">
        <v>-0.169431875314228</v>
      </c>
      <c r="D76">
        <v>-0.197785655319768</v>
      </c>
      <c r="E76">
        <v>-0.137384112098292</v>
      </c>
      <c r="F76">
        <v>-0.5189850934878091</v>
      </c>
      <c r="G76">
        <v>-0.3669637057914</v>
      </c>
      <c r="H76">
        <v>-0.42531834476377</v>
      </c>
      <c r="I76">
        <v>-0.335946136066726</v>
      </c>
    </row>
    <row r="77" spans="1:9">
      <c r="A77" s="1" t="s">
        <v>89</v>
      </c>
      <c r="B77">
        <f>HYPERLINK("https://www.suredividend.com/sure-analysis-research-database/","Asensus Surgical Inc")</f>
        <v>0</v>
      </c>
      <c r="C77">
        <v>-0.304407010379445</v>
      </c>
      <c r="D77">
        <v>-0.091555555555555</v>
      </c>
      <c r="E77">
        <v>-0.244362292051756</v>
      </c>
      <c r="F77">
        <v>-0.631711711711711</v>
      </c>
      <c r="G77">
        <v>-0.763699421965317</v>
      </c>
      <c r="H77">
        <v>0.04632710519580201</v>
      </c>
      <c r="I77">
        <v>-0.9788951987609701</v>
      </c>
    </row>
    <row r="78" spans="1:9">
      <c r="A78" s="1" t="s">
        <v>90</v>
      </c>
      <c r="B78">
        <f>HYPERLINK("https://www.suredividend.com/sure-analysis-research-database/","Atlas Technical Consultants Inc")</f>
        <v>0</v>
      </c>
      <c r="C78">
        <v>-0.184964200477327</v>
      </c>
      <c r="D78">
        <v>0.288679245283018</v>
      </c>
      <c r="E78">
        <v>-0.415239726027397</v>
      </c>
      <c r="F78">
        <v>-0.188836104513064</v>
      </c>
      <c r="G78">
        <v>-0.313567839195979</v>
      </c>
      <c r="H78">
        <v>-0.254366812227074</v>
      </c>
      <c r="I78">
        <v>-0.292227979274611</v>
      </c>
    </row>
    <row r="79" spans="1:9">
      <c r="A79" s="1" t="s">
        <v>91</v>
      </c>
      <c r="B79">
        <f>HYPERLINK("https://www.suredividend.com/sure-analysis-research-database/","Alphatec Holdings Inc")</f>
        <v>0</v>
      </c>
      <c r="C79">
        <v>0.135491606714628</v>
      </c>
      <c r="D79">
        <v>0.343262411347517</v>
      </c>
      <c r="E79">
        <v>-0.237520128824476</v>
      </c>
      <c r="F79">
        <v>-0.171478565179352</v>
      </c>
      <c r="G79">
        <v>-0.206202849958088</v>
      </c>
      <c r="H79">
        <v>-0.021694214876032</v>
      </c>
      <c r="I79">
        <v>1.466145833333333</v>
      </c>
    </row>
    <row r="80" spans="1:9">
      <c r="A80" s="1" t="s">
        <v>92</v>
      </c>
      <c r="B80">
        <f>HYPERLINK("https://www.suredividend.com/sure-analysis-research-database/","A10 Networks Inc")</f>
        <v>0</v>
      </c>
      <c r="C80">
        <v>0.07252747252747201</v>
      </c>
      <c r="D80">
        <v>0.031421727490488</v>
      </c>
      <c r="E80">
        <v>0.11821452304026</v>
      </c>
      <c r="F80">
        <v>-0.107648984219284</v>
      </c>
      <c r="G80">
        <v>0.111617312072892</v>
      </c>
      <c r="H80">
        <v>1.078453085736189</v>
      </c>
      <c r="I80">
        <v>0.9424174074565481</v>
      </c>
    </row>
    <row r="81" spans="1:9">
      <c r="A81" s="1" t="s">
        <v>93</v>
      </c>
      <c r="B81">
        <f>HYPERLINK("https://www.suredividend.com/sure-analysis-research-database/","Aterian Inc")</f>
        <v>0</v>
      </c>
      <c r="C81">
        <v>-0.586345381526104</v>
      </c>
      <c r="D81">
        <v>-0.594488188976378</v>
      </c>
      <c r="E81">
        <v>-0.779443254817987</v>
      </c>
      <c r="F81">
        <v>-0.749391727493917</v>
      </c>
      <c r="G81">
        <v>-0.867096774193548</v>
      </c>
      <c r="H81">
        <v>-0.8841394825646791</v>
      </c>
      <c r="I81">
        <v>-0.897</v>
      </c>
    </row>
    <row r="82" spans="1:9">
      <c r="A82" s="1" t="s">
        <v>94</v>
      </c>
      <c r="B82">
        <f>HYPERLINK("https://www.suredividend.com/sure-analysis-research-database/","Anterix Inc")</f>
        <v>0</v>
      </c>
      <c r="C82">
        <v>-0.128638964916645</v>
      </c>
      <c r="D82">
        <v>-0.127118644067796</v>
      </c>
      <c r="E82">
        <v>-0.3760912168181</v>
      </c>
      <c r="F82">
        <v>-0.4040163376446561</v>
      </c>
      <c r="G82">
        <v>-0.414674912251378</v>
      </c>
      <c r="H82">
        <v>0.007769784172662</v>
      </c>
      <c r="I82">
        <v>0.056410256410256</v>
      </c>
    </row>
    <row r="83" spans="1:9">
      <c r="A83" s="1" t="s">
        <v>95</v>
      </c>
      <c r="B83">
        <f>HYPERLINK("https://www.suredividend.com/sure-analysis-research-database/","Adtalem Global Education Inc")</f>
        <v>0</v>
      </c>
      <c r="C83">
        <v>-0.008762612851832</v>
      </c>
      <c r="D83">
        <v>-0.020724029380902</v>
      </c>
      <c r="E83">
        <v>0.288129744651483</v>
      </c>
      <c r="F83">
        <v>0.262855209742895</v>
      </c>
      <c r="G83">
        <v>-0.011387711864406</v>
      </c>
      <c r="H83">
        <v>0.40180247840781</v>
      </c>
      <c r="I83">
        <v>0.05601131541725501</v>
      </c>
    </row>
    <row r="84" spans="1:9">
      <c r="A84" s="1" t="s">
        <v>96</v>
      </c>
      <c r="B84">
        <f>HYPERLINK("https://www.suredividend.com/sure-analysis-research-database/","Athira Pharma Inc")</f>
        <v>0</v>
      </c>
      <c r="C84">
        <v>-0.128939828080229</v>
      </c>
      <c r="D84">
        <v>-0.191489361702127</v>
      </c>
      <c r="E84">
        <v>-0.7589214908802531</v>
      </c>
      <c r="F84">
        <v>-0.7666922486569451</v>
      </c>
      <c r="G84">
        <v>-0.673118279569892</v>
      </c>
      <c r="H84">
        <v>-0.8191552647233791</v>
      </c>
      <c r="I84">
        <v>-0.822326125073056</v>
      </c>
    </row>
    <row r="85" spans="1:9">
      <c r="A85" s="1" t="s">
        <v>97</v>
      </c>
      <c r="B85">
        <f>HYPERLINK("https://www.suredividend.com/sure-analysis-research-database/","Athersys Inc")</f>
        <v>0</v>
      </c>
      <c r="C85">
        <v>-0.348360655737704</v>
      </c>
      <c r="D85">
        <v>-0.7513682564503511</v>
      </c>
      <c r="E85">
        <v>-0.8794541319181191</v>
      </c>
      <c r="F85">
        <v>-0.929536893419011</v>
      </c>
      <c r="G85">
        <v>-0.951076923076923</v>
      </c>
      <c r="H85">
        <v>-0.967046632124352</v>
      </c>
      <c r="I85">
        <v>-0.971479820627802</v>
      </c>
    </row>
    <row r="86" spans="1:9">
      <c r="A86" s="1" t="s">
        <v>98</v>
      </c>
      <c r="B86">
        <f>HYPERLINK("https://www.suredividend.com/sure-analysis-research-database/","ATI Inc")</f>
        <v>0</v>
      </c>
      <c r="C86">
        <v>-0.09383033419023101</v>
      </c>
      <c r="D86">
        <v>0.287083523505248</v>
      </c>
      <c r="E86">
        <v>0.028446389496717</v>
      </c>
      <c r="F86">
        <v>0.7702448210922781</v>
      </c>
      <c r="G86">
        <v>0.6637168141592921</v>
      </c>
      <c r="H86">
        <v>2</v>
      </c>
      <c r="I86">
        <v>0.17451062057476</v>
      </c>
    </row>
    <row r="87" spans="1:9">
      <c r="A87" s="1" t="s">
        <v>99</v>
      </c>
      <c r="B87">
        <f>HYPERLINK("https://www.suredividend.com/sure-analysis-research-database/","Atkore Inc")</f>
        <v>0</v>
      </c>
      <c r="C87">
        <v>-0.005203031331297001</v>
      </c>
      <c r="D87">
        <v>-0.022451928420584</v>
      </c>
      <c r="E87">
        <v>-0.016549256401654</v>
      </c>
      <c r="F87">
        <v>-0.209011601762748</v>
      </c>
      <c r="G87">
        <v>0.004568817818389</v>
      </c>
      <c r="H87">
        <v>2.586867862969005</v>
      </c>
      <c r="I87">
        <v>3.480387162506368</v>
      </c>
    </row>
    <row r="88" spans="1:9">
      <c r="A88" s="1" t="s">
        <v>100</v>
      </c>
      <c r="B88">
        <f>HYPERLINK("https://www.suredividend.com/sure-analysis-research-database/","Atlanticus Holdings Corp")</f>
        <v>0</v>
      </c>
      <c r="C88">
        <v>-0.151960784313725</v>
      </c>
      <c r="D88">
        <v>-0.330668042300748</v>
      </c>
      <c r="E88">
        <v>-0.44551282051282</v>
      </c>
      <c r="F88">
        <v>-0.6361469433538971</v>
      </c>
      <c r="G88">
        <v>-0.522099447513812</v>
      </c>
      <c r="H88">
        <v>0.898317483540599</v>
      </c>
      <c r="I88">
        <v>9.903361344537815</v>
      </c>
    </row>
    <row r="89" spans="1:9">
      <c r="A89" s="1" t="s">
        <v>101</v>
      </c>
      <c r="B89">
        <f>HYPERLINK("https://www.suredividend.com/sure-analysis-research-database/","ATN International Inc")</f>
        <v>0</v>
      </c>
      <c r="C89">
        <v>-0.17588781591552</v>
      </c>
      <c r="D89">
        <v>-0.227204507754285</v>
      </c>
      <c r="E89">
        <v>-0.15024006562598</v>
      </c>
      <c r="F89">
        <v>-0.107620193830366</v>
      </c>
      <c r="G89">
        <v>-0.231561400905893</v>
      </c>
      <c r="H89">
        <v>-0.27863050397552</v>
      </c>
      <c r="I89">
        <v>-0.31534809942032</v>
      </c>
    </row>
    <row r="90" spans="1:9">
      <c r="A90" s="1" t="s">
        <v>102</v>
      </c>
      <c r="B90">
        <f>HYPERLINK("https://www.suredividend.com/sure-analysis-research-database/","Athenex Inc")</f>
        <v>0</v>
      </c>
      <c r="C90">
        <v>-0.513268608414239</v>
      </c>
      <c r="D90">
        <v>-0.5954088952654231</v>
      </c>
      <c r="E90">
        <v>-0.7000000000000001</v>
      </c>
      <c r="F90">
        <v>-0.8341176470588231</v>
      </c>
      <c r="G90">
        <v>-0.919428571428571</v>
      </c>
      <c r="H90">
        <v>-0.9815686274509801</v>
      </c>
      <c r="I90">
        <v>-0.988219321148825</v>
      </c>
    </row>
    <row r="91" spans="1:9">
      <c r="A91" s="1" t="s">
        <v>103</v>
      </c>
      <c r="B91">
        <f>HYPERLINK("https://www.suredividend.com/sure-analysis-research-database/","Atomera Inc")</f>
        <v>0</v>
      </c>
      <c r="C91">
        <v>-0.274979355904211</v>
      </c>
      <c r="D91">
        <v>-0.152509652509652</v>
      </c>
      <c r="E91">
        <v>-0.201818181818181</v>
      </c>
      <c r="F91">
        <v>-0.563618290258449</v>
      </c>
      <c r="G91">
        <v>-0.592196934509986</v>
      </c>
      <c r="H91">
        <v>-0.190783410138248</v>
      </c>
      <c r="I91">
        <v>1.222784810126582</v>
      </c>
    </row>
    <row r="92" spans="1:9">
      <c r="A92" s="1" t="s">
        <v>104</v>
      </c>
      <c r="B92">
        <f>HYPERLINK("https://www.suredividend.com/sure-analysis-research-database/","Atossa Therapeutics Inc")</f>
        <v>0</v>
      </c>
      <c r="C92">
        <v>-0.121693121693121</v>
      </c>
      <c r="D92">
        <v>-0.231481481481481</v>
      </c>
      <c r="E92">
        <v>-0.278260869565217</v>
      </c>
      <c r="F92">
        <v>-0.48125</v>
      </c>
      <c r="G92">
        <v>-0.7389937106918231</v>
      </c>
      <c r="H92">
        <v>-0.643776824034334</v>
      </c>
      <c r="I92">
        <v>-0.8610832161746</v>
      </c>
    </row>
    <row r="93" spans="1:9">
      <c r="A93" s="1" t="s">
        <v>105</v>
      </c>
      <c r="B93">
        <f>HYPERLINK("https://www.suredividend.com/sure-analysis-research-database/","Atara Biotherapeutics Inc")</f>
        <v>0</v>
      </c>
      <c r="C93">
        <v>-0.21161825726141</v>
      </c>
      <c r="D93">
        <v>-0.552941176470588</v>
      </c>
      <c r="E93">
        <v>-0.5662100456621001</v>
      </c>
      <c r="F93">
        <v>-0.758883248730964</v>
      </c>
      <c r="G93">
        <v>-0.7771260997067441</v>
      </c>
      <c r="H93">
        <v>-0.7373876986869381</v>
      </c>
      <c r="I93">
        <v>-0.75</v>
      </c>
    </row>
    <row r="94" spans="1:9">
      <c r="A94" s="1" t="s">
        <v>106</v>
      </c>
      <c r="B94">
        <f>HYPERLINK("https://www.suredividend.com/sure-analysis-research-database/","Atricure Inc")</f>
        <v>0</v>
      </c>
      <c r="C94">
        <v>-0.2254036598493</v>
      </c>
      <c r="D94">
        <v>-0.178163544997715</v>
      </c>
      <c r="E94">
        <v>-0.411225658648339</v>
      </c>
      <c r="F94">
        <v>-0.482525528548827</v>
      </c>
      <c r="G94">
        <v>-0.492381489841986</v>
      </c>
      <c r="H94">
        <v>-0.129866989117291</v>
      </c>
      <c r="I94">
        <v>0.5984007107952011</v>
      </c>
    </row>
    <row r="95" spans="1:9">
      <c r="A95" s="1" t="s">
        <v>107</v>
      </c>
      <c r="B95">
        <f>HYPERLINK("https://www.suredividend.com/sure-analysis-research-database/","Atrion Corp.")</f>
        <v>0</v>
      </c>
      <c r="C95">
        <v>-0.041163763465128</v>
      </c>
      <c r="D95">
        <v>-0.0537427309477</v>
      </c>
      <c r="E95">
        <v>-0.206967496932658</v>
      </c>
      <c r="F95">
        <v>-0.165233212112081</v>
      </c>
      <c r="G95">
        <v>-0.138233864357584</v>
      </c>
      <c r="H95">
        <v>-0.06843981889171001</v>
      </c>
      <c r="I95">
        <v>-0.081035751915599</v>
      </c>
    </row>
    <row r="96" spans="1:9">
      <c r="A96" s="1" t="s">
        <v>108</v>
      </c>
      <c r="B96">
        <f>HYPERLINK("https://www.suredividend.com/sure-analysis-research-database/","Astronics Corp.")</f>
        <v>0</v>
      </c>
      <c r="C96">
        <v>-0.09954751131221701</v>
      </c>
      <c r="D96">
        <v>-0.212660731948565</v>
      </c>
      <c r="E96">
        <v>-0.299912049252418</v>
      </c>
      <c r="F96">
        <v>-0.336666666666666</v>
      </c>
      <c r="G96">
        <v>-0.427338129496402</v>
      </c>
      <c r="H96">
        <v>-0.033980582524271</v>
      </c>
      <c r="I96">
        <v>-0.7424781624069881</v>
      </c>
    </row>
    <row r="97" spans="1:9">
      <c r="A97" s="1" t="s">
        <v>109</v>
      </c>
      <c r="B97">
        <f>HYPERLINK("https://www.suredividend.com/sure-analysis-research-database/","Antares Pharma Inc")</f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1" t="s">
        <v>110</v>
      </c>
      <c r="B98">
        <f>HYPERLINK("https://www.suredividend.com/sure-analysis-research-database/","Air Transport Services Group Inc")</f>
        <v>0</v>
      </c>
      <c r="C98">
        <v>-0.053078556263269</v>
      </c>
      <c r="D98">
        <v>-0.048702452897262</v>
      </c>
      <c r="E98">
        <v>-0.05907172995780501</v>
      </c>
      <c r="F98">
        <v>-0.08917631041524801</v>
      </c>
      <c r="G98">
        <v>0.08780487804878001</v>
      </c>
      <c r="H98">
        <v>0.007909604519773001</v>
      </c>
      <c r="I98">
        <v>0.115464776990412</v>
      </c>
    </row>
    <row r="99" spans="1:9">
      <c r="A99" s="1" t="s">
        <v>111</v>
      </c>
      <c r="B99">
        <f>HYPERLINK("https://www.suredividend.com/sure-analysis-research-database/","Atlantic Union Bankshares Corp")</f>
        <v>0</v>
      </c>
      <c r="C99">
        <v>-0.069506063294883</v>
      </c>
      <c r="D99">
        <v>-0.07169161040555201</v>
      </c>
      <c r="E99">
        <v>-0.103159467141028</v>
      </c>
      <c r="F99">
        <v>-0.135873341994742</v>
      </c>
      <c r="G99">
        <v>-0.153557024588818</v>
      </c>
      <c r="H99">
        <v>0.37234288506083</v>
      </c>
      <c r="I99">
        <v>-0.07981022914070701</v>
      </c>
    </row>
    <row r="100" spans="1:9">
      <c r="A100" s="1" t="s">
        <v>112</v>
      </c>
      <c r="B100">
        <f>HYPERLINK("https://www.suredividend.com/sure-analysis-research-database/","Audacy Inc")</f>
        <v>0</v>
      </c>
      <c r="C100">
        <v>-0.34758435582822</v>
      </c>
      <c r="D100">
        <v>-0.615523669641848</v>
      </c>
      <c r="E100">
        <v>-0.875802919708029</v>
      </c>
      <c r="F100">
        <v>-0.867587548638132</v>
      </c>
      <c r="G100">
        <v>-0.9046778711484591</v>
      </c>
      <c r="H100">
        <v>-0.7775816993464051</v>
      </c>
      <c r="I100">
        <v>-0.9690619488335721</v>
      </c>
    </row>
    <row r="101" spans="1:9">
      <c r="A101" s="1" t="s">
        <v>113</v>
      </c>
      <c r="B101">
        <f>HYPERLINK("https://www.suredividend.com/sure-analysis-research-database/","Aura Biosciences Inc")</f>
        <v>0</v>
      </c>
      <c r="C101">
        <v>-0.108667529107373</v>
      </c>
      <c r="D101">
        <v>-0.09042904290429001</v>
      </c>
      <c r="E101">
        <v>-0.283783783783783</v>
      </c>
      <c r="F101">
        <v>-0.188457008244994</v>
      </c>
      <c r="G101">
        <v>-0.06891891891891801</v>
      </c>
      <c r="H101">
        <v>-0.06891891891891801</v>
      </c>
      <c r="I101">
        <v>-0.06891891891891801</v>
      </c>
    </row>
    <row r="102" spans="1:9">
      <c r="A102" s="1" t="s">
        <v>114</v>
      </c>
      <c r="B102">
        <f>HYPERLINK("https://www.suredividend.com/sure-analysis-AVA/","Avista Corp.")</f>
        <v>0</v>
      </c>
      <c r="C102">
        <v>-0.102601507415511</v>
      </c>
      <c r="D102">
        <v>-0.11565065924877</v>
      </c>
      <c r="E102">
        <v>-0.180251410296273</v>
      </c>
      <c r="F102">
        <v>-0.104678183838119</v>
      </c>
      <c r="G102">
        <v>-0.04757972745968801</v>
      </c>
      <c r="H102">
        <v>0.141974926673514</v>
      </c>
      <c r="I102">
        <v>-0.153665538526447</v>
      </c>
    </row>
    <row r="103" spans="1:9">
      <c r="A103" s="1" t="s">
        <v>115</v>
      </c>
      <c r="B103">
        <f>HYPERLINK("https://www.suredividend.com/sure-analysis-research-database/","Aveanna Healthcare Holdings Inc")</f>
        <v>0</v>
      </c>
      <c r="C103">
        <v>-0.331683168316831</v>
      </c>
      <c r="D103">
        <v>-0.46215139442231</v>
      </c>
      <c r="E103">
        <v>-0.563106796116504</v>
      </c>
      <c r="F103">
        <v>-0.8175675675675671</v>
      </c>
      <c r="G103">
        <v>-0.8143053645116911</v>
      </c>
      <c r="H103">
        <v>-0.882914137033824</v>
      </c>
      <c r="I103">
        <v>-0.882914137033824</v>
      </c>
    </row>
    <row r="104" spans="1:9">
      <c r="A104" s="1" t="s">
        <v>116</v>
      </c>
      <c r="B104">
        <f>HYPERLINK("https://www.suredividend.com/sure-analysis-research-database/","AeroVironment Inc.")</f>
        <v>0</v>
      </c>
      <c r="C104">
        <v>-0.229139602278405</v>
      </c>
      <c r="D104">
        <v>-0.06846999154691401</v>
      </c>
      <c r="E104">
        <v>-0.251721796488505</v>
      </c>
      <c r="F104">
        <v>0.243591810414315</v>
      </c>
      <c r="G104">
        <v>-0.111187924876137</v>
      </c>
      <c r="H104">
        <v>0.084340736575766</v>
      </c>
      <c r="I104">
        <v>0.41049552020479</v>
      </c>
    </row>
    <row r="105" spans="1:9">
      <c r="A105" s="1" t="s">
        <v>117</v>
      </c>
      <c r="B105">
        <f>HYPERLINK("https://www.suredividend.com/sure-analysis-research-database/","American Vanguard Corp.")</f>
        <v>0</v>
      </c>
      <c r="C105">
        <v>0.017152369722252</v>
      </c>
      <c r="D105">
        <v>-0.062197372508176</v>
      </c>
      <c r="E105">
        <v>0.010837079453862</v>
      </c>
      <c r="F105">
        <v>0.257256938490556</v>
      </c>
      <c r="G105">
        <v>0.362833738266884</v>
      </c>
      <c r="H105">
        <v>0.397102356631983</v>
      </c>
      <c r="I105">
        <v>-0.069925476249801</v>
      </c>
    </row>
    <row r="106" spans="1:9">
      <c r="A106" s="1" t="s">
        <v>118</v>
      </c>
      <c r="B106">
        <f>HYPERLINK("https://www.suredividend.com/sure-analysis-research-database/","AvidXchange Holdings Inc")</f>
        <v>0</v>
      </c>
      <c r="C106">
        <v>-0.037252619324796</v>
      </c>
      <c r="D106">
        <v>0.176386913229018</v>
      </c>
      <c r="E106">
        <v>0.081045751633986</v>
      </c>
      <c r="F106">
        <v>-0.450863213811421</v>
      </c>
      <c r="G106">
        <v>-0.6684041700080191</v>
      </c>
      <c r="H106">
        <v>-0.6684041700080191</v>
      </c>
      <c r="I106">
        <v>-0.6684041700080191</v>
      </c>
    </row>
    <row r="107" spans="1:9">
      <c r="A107" s="1" t="s">
        <v>119</v>
      </c>
      <c r="B107">
        <f>HYPERLINK("https://www.suredividend.com/sure-analysis-research-database/","Avid Technology, Inc.")</f>
        <v>0</v>
      </c>
      <c r="C107">
        <v>-0.06603773584905601</v>
      </c>
      <c r="D107">
        <v>-0.184625943719972</v>
      </c>
      <c r="E107">
        <v>-0.30607476635514</v>
      </c>
      <c r="F107">
        <v>-0.270494319926312</v>
      </c>
      <c r="G107">
        <v>-0.188247352237786</v>
      </c>
      <c r="H107">
        <v>1.666666666666667</v>
      </c>
      <c r="I107">
        <v>4.210526315789474</v>
      </c>
    </row>
    <row r="108" spans="1:9">
      <c r="A108" s="1" t="s">
        <v>120</v>
      </c>
      <c r="B108">
        <f>HYPERLINK("https://www.suredividend.com/sure-analysis-research-database/","Atea Pharmaceuticals Inc")</f>
        <v>0</v>
      </c>
      <c r="C108">
        <v>-0.31725888324873</v>
      </c>
      <c r="D108">
        <v>-0.31984829329962</v>
      </c>
      <c r="E108">
        <v>-0.192192192192192</v>
      </c>
      <c r="F108">
        <v>-0.39821029082774</v>
      </c>
      <c r="G108">
        <v>-0.8657014478282571</v>
      </c>
      <c r="H108">
        <v>-0.8226763348714561</v>
      </c>
      <c r="I108">
        <v>-0.8226763348714561</v>
      </c>
    </row>
    <row r="109" spans="1:9">
      <c r="A109" s="1" t="s">
        <v>121</v>
      </c>
      <c r="B109">
        <f>HYPERLINK("https://www.suredividend.com/sure-analysis-research-database/","Avanos Medical Inc")</f>
        <v>0</v>
      </c>
      <c r="C109">
        <v>-0.176239181746656</v>
      </c>
      <c r="D109">
        <v>-0.232967032967032</v>
      </c>
      <c r="E109">
        <v>-0.369277108433734</v>
      </c>
      <c r="F109">
        <v>-0.396019613498702</v>
      </c>
      <c r="G109">
        <v>-0.346645865834633</v>
      </c>
      <c r="H109">
        <v>-0.459333849728892</v>
      </c>
      <c r="I109">
        <v>-0.5291207555655491</v>
      </c>
    </row>
    <row r="110" spans="1:9">
      <c r="A110" s="1" t="s">
        <v>122</v>
      </c>
      <c r="B110">
        <f>HYPERLINK("https://www.suredividend.com/sure-analysis-AVNT/","Avient Corp")</f>
        <v>0</v>
      </c>
      <c r="C110">
        <v>-0.292625850845506</v>
      </c>
      <c r="D110">
        <v>-0.217919825873583</v>
      </c>
      <c r="E110">
        <v>-0.320202935152669</v>
      </c>
      <c r="F110">
        <v>-0.4464277603669891</v>
      </c>
      <c r="G110">
        <v>-0.353889281177969</v>
      </c>
      <c r="H110">
        <v>-0.001399417291816</v>
      </c>
      <c r="I110">
        <v>-0.204243339096279</v>
      </c>
    </row>
    <row r="111" spans="1:9">
      <c r="A111" s="1" t="s">
        <v>123</v>
      </c>
      <c r="B111">
        <f>HYPERLINK("https://www.suredividend.com/sure-analysis-research-database/","Aviat Networks Inc")</f>
        <v>0</v>
      </c>
      <c r="C111">
        <v>-0.132805071315372</v>
      </c>
      <c r="D111">
        <v>0.04707233065442001</v>
      </c>
      <c r="E111">
        <v>-0.05849965588437701</v>
      </c>
      <c r="F111">
        <v>-0.147132169576059</v>
      </c>
      <c r="G111">
        <v>-0.188612099644128</v>
      </c>
      <c r="H111">
        <v>1.467087466185753</v>
      </c>
      <c r="I111">
        <v>2.292418772563176</v>
      </c>
    </row>
    <row r="112" spans="1:9">
      <c r="A112" s="1" t="s">
        <v>124</v>
      </c>
      <c r="B112">
        <f>HYPERLINK("https://www.suredividend.com/sure-analysis-research-database/","Mission Produce Inc")</f>
        <v>0</v>
      </c>
      <c r="C112">
        <v>-0.05327342747111601</v>
      </c>
      <c r="D112">
        <v>0.010273972602739</v>
      </c>
      <c r="E112">
        <v>0.132872503840245</v>
      </c>
      <c r="F112">
        <v>-0.06050955414012701</v>
      </c>
      <c r="G112">
        <v>-0.202702702702702</v>
      </c>
      <c r="H112">
        <v>0.179999999999999</v>
      </c>
      <c r="I112">
        <v>0.179999999999999</v>
      </c>
    </row>
    <row r="113" spans="1:9">
      <c r="A113" s="1" t="s">
        <v>125</v>
      </c>
      <c r="B113">
        <f>HYPERLINK("https://www.suredividend.com/sure-analysis-research-database/","AvroBio Inc")</f>
        <v>0</v>
      </c>
      <c r="C113">
        <v>-0.284055029318899</v>
      </c>
      <c r="D113">
        <v>-0.395333333333333</v>
      </c>
      <c r="E113">
        <v>-0.4795901639344261</v>
      </c>
      <c r="F113">
        <v>-0.8350909090909091</v>
      </c>
      <c r="G113">
        <v>-0.885397111913357</v>
      </c>
      <c r="H113">
        <v>-0.9580092592592591</v>
      </c>
      <c r="I113">
        <v>-0.979650641025641</v>
      </c>
    </row>
    <row r="114" spans="1:9">
      <c r="A114" s="1" t="s">
        <v>126</v>
      </c>
      <c r="B114">
        <f>HYPERLINK("https://www.suredividend.com/sure-analysis-research-database/","Aerovate Therapeutics Inc")</f>
        <v>0</v>
      </c>
      <c r="C114">
        <v>-0.044075558099599</v>
      </c>
      <c r="D114">
        <v>-0.050056882821387</v>
      </c>
      <c r="E114">
        <v>0.002400960384153</v>
      </c>
      <c r="F114">
        <v>0.416454622561492</v>
      </c>
      <c r="G114">
        <v>-0.168740666998506</v>
      </c>
      <c r="H114">
        <v>-0.268506351292159</v>
      </c>
      <c r="I114">
        <v>-0.268506351292159</v>
      </c>
    </row>
    <row r="115" spans="1:9">
      <c r="A115" s="1" t="s">
        <v>127</v>
      </c>
      <c r="B115">
        <f>HYPERLINK("https://www.suredividend.com/sure-analysis-research-database/","Avalo Therapeutics Inc")</f>
        <v>0</v>
      </c>
      <c r="C115">
        <v>-0.157786885245901</v>
      </c>
      <c r="D115">
        <v>-0.206563706563706</v>
      </c>
      <c r="E115">
        <v>-0.475015328019619</v>
      </c>
      <c r="F115">
        <v>-0.798529411764705</v>
      </c>
      <c r="G115">
        <v>-0.84288990825688</v>
      </c>
      <c r="H115">
        <v>0.6775510204081631</v>
      </c>
      <c r="I115">
        <v>2.877358490566037</v>
      </c>
    </row>
    <row r="116" spans="1:9">
      <c r="A116" s="1" t="s">
        <v>128</v>
      </c>
      <c r="B116">
        <f>HYPERLINK("https://www.suredividend.com/sure-analysis-research-database/","Anavex Life Sciences Corporation")</f>
        <v>0</v>
      </c>
      <c r="C116">
        <v>0.002912621359223</v>
      </c>
      <c r="D116">
        <v>-0.191705790297339</v>
      </c>
      <c r="E116">
        <v>-0.12457627118644</v>
      </c>
      <c r="F116">
        <v>-0.4042675893886961</v>
      </c>
      <c r="G116">
        <v>-0.400116144018583</v>
      </c>
      <c r="H116">
        <v>1.402325581395349</v>
      </c>
      <c r="I116">
        <v>1.489156626506024</v>
      </c>
    </row>
    <row r="117" spans="1:9">
      <c r="A117" s="1" t="s">
        <v>129</v>
      </c>
      <c r="B117">
        <f>HYPERLINK("https://www.suredividend.com/sure-analysis-research-database/","Avaya Holdings Corp.")</f>
        <v>0</v>
      </c>
      <c r="C117">
        <v>-0.288461538461538</v>
      </c>
      <c r="D117">
        <v>-0.573076923076923</v>
      </c>
      <c r="E117">
        <v>-0.9075770191507071</v>
      </c>
      <c r="F117">
        <v>-0.9439393939393941</v>
      </c>
      <c r="G117">
        <v>-0.944249121044701</v>
      </c>
      <c r="H117">
        <v>-0.940161725067385</v>
      </c>
      <c r="I117">
        <v>-0.946634615384615</v>
      </c>
    </row>
    <row r="118" spans="1:9">
      <c r="A118" s="1" t="s">
        <v>130</v>
      </c>
      <c r="B118">
        <f>HYPERLINK("https://www.suredividend.com/sure-analysis-research-database/","Aspira Women`s Health Inc")</f>
        <v>0</v>
      </c>
      <c r="C118">
        <v>-0.286946520989074</v>
      </c>
      <c r="D118">
        <v>-0.631683168316831</v>
      </c>
      <c r="E118">
        <v>-0.589856670341786</v>
      </c>
      <c r="F118">
        <v>-0.789830508474576</v>
      </c>
      <c r="G118">
        <v>-0.88375</v>
      </c>
      <c r="H118">
        <v>-0.8869300911854101</v>
      </c>
      <c r="I118">
        <v>-0.777245508982035</v>
      </c>
    </row>
    <row r="119" spans="1:9">
      <c r="A119" s="1" t="s">
        <v>131</v>
      </c>
      <c r="B119">
        <f>HYPERLINK("https://www.suredividend.com/sure-analysis-AWR/","American States Water Co.")</f>
        <v>0</v>
      </c>
      <c r="C119">
        <v>-0.043844057352766</v>
      </c>
      <c r="D119">
        <v>-0.013054491770153</v>
      </c>
      <c r="E119">
        <v>-0.08992374488089101</v>
      </c>
      <c r="F119">
        <v>-0.209308387367356</v>
      </c>
      <c r="G119">
        <v>-0.070089591318838</v>
      </c>
      <c r="H119">
        <v>0.089164640821334</v>
      </c>
      <c r="I119">
        <v>0.669684334681799</v>
      </c>
    </row>
    <row r="120" spans="1:9">
      <c r="A120" s="1" t="s">
        <v>132</v>
      </c>
      <c r="B120">
        <f>HYPERLINK("https://www.suredividend.com/sure-analysis-research-database/","Axos Financial Inc.")</f>
        <v>0</v>
      </c>
      <c r="C120">
        <v>-0.125184094256259</v>
      </c>
      <c r="D120">
        <v>-0.009724923589886001</v>
      </c>
      <c r="E120">
        <v>-0.117384843982169</v>
      </c>
      <c r="F120">
        <v>-0.36254695045609</v>
      </c>
      <c r="G120">
        <v>-0.338161559888579</v>
      </c>
      <c r="H120">
        <v>0.36030534351145</v>
      </c>
      <c r="I120">
        <v>0.32</v>
      </c>
    </row>
    <row r="121" spans="1:9">
      <c r="A121" s="1" t="s">
        <v>133</v>
      </c>
      <c r="B121">
        <f>HYPERLINK("https://www.suredividend.com/sure-analysis-research-database/","Accelerate Diagnostics Inc")</f>
        <v>0</v>
      </c>
      <c r="C121">
        <v>-0.148936170212765</v>
      </c>
      <c r="D121">
        <v>0.367521367521367</v>
      </c>
      <c r="E121">
        <v>0.428571428571428</v>
      </c>
      <c r="F121">
        <v>-0.693486590038314</v>
      </c>
      <c r="G121">
        <v>-0.715808170515097</v>
      </c>
      <c r="H121">
        <v>-0.855334538878842</v>
      </c>
      <c r="I121">
        <v>-0.9221411192214111</v>
      </c>
    </row>
    <row r="122" spans="1:9">
      <c r="A122" s="1" t="s">
        <v>134</v>
      </c>
      <c r="B122">
        <f>HYPERLINK("https://www.suredividend.com/sure-analysis-research-database/","Axogen Inc.")</f>
        <v>0</v>
      </c>
      <c r="C122">
        <v>-0.055241409308394</v>
      </c>
      <c r="D122">
        <v>0.286729857819905</v>
      </c>
      <c r="E122">
        <v>0.467567567567567</v>
      </c>
      <c r="F122">
        <v>0.159018143009605</v>
      </c>
      <c r="G122">
        <v>-0.240027991602519</v>
      </c>
      <c r="H122">
        <v>-0.164615384615384</v>
      </c>
      <c r="I122">
        <v>-0.4192513368983951</v>
      </c>
    </row>
    <row r="123" spans="1:9">
      <c r="A123" s="1" t="s">
        <v>135</v>
      </c>
      <c r="B123">
        <f>HYPERLINK("https://www.suredividend.com/sure-analysis-research-database/","American Axle &amp; Manufacturing Holdings Inc")</f>
        <v>0</v>
      </c>
      <c r="C123">
        <v>-0.235839340885684</v>
      </c>
      <c r="D123">
        <v>0.004059539918809</v>
      </c>
      <c r="E123">
        <v>0.09763313609467401</v>
      </c>
      <c r="F123">
        <v>-0.204715969989281</v>
      </c>
      <c r="G123">
        <v>-0.249747219413549</v>
      </c>
      <c r="H123">
        <v>0.08321167883211601</v>
      </c>
      <c r="I123">
        <v>-0.58267716535433</v>
      </c>
    </row>
    <row r="124" spans="1:9">
      <c r="A124" s="1" t="s">
        <v>136</v>
      </c>
      <c r="B124">
        <f>HYPERLINK("https://www.suredividend.com/sure-analysis-research-database/","Axonics Inc")</f>
        <v>0</v>
      </c>
      <c r="C124">
        <v>-0.111067708333333</v>
      </c>
      <c r="D124">
        <v>0.081933438985736</v>
      </c>
      <c r="E124">
        <v>0.06091686091686001</v>
      </c>
      <c r="F124">
        <v>0.219107142857142</v>
      </c>
      <c r="G124">
        <v>0.07309022320025101</v>
      </c>
      <c r="H124">
        <v>0.339941118743866</v>
      </c>
      <c r="I124">
        <v>3.557409879839785</v>
      </c>
    </row>
    <row r="125" spans="1:9">
      <c r="A125" s="1" t="s">
        <v>137</v>
      </c>
      <c r="B125">
        <f>HYPERLINK("https://www.suredividend.com/sure-analysis-research-database/","Axsome Therapeutics Inc")</f>
        <v>0</v>
      </c>
      <c r="C125">
        <v>-0.293700660544546</v>
      </c>
      <c r="D125">
        <v>-0.03859649122807</v>
      </c>
      <c r="E125">
        <v>0.077414598181371</v>
      </c>
      <c r="F125">
        <v>0.160402329274748</v>
      </c>
      <c r="G125">
        <v>0.361490683229813</v>
      </c>
      <c r="H125">
        <v>-0.412332439678284</v>
      </c>
      <c r="I125">
        <v>6.691228070175439</v>
      </c>
    </row>
    <row r="126" spans="1:9">
      <c r="A126" s="1" t="s">
        <v>138</v>
      </c>
      <c r="B126">
        <f>HYPERLINK("https://www.suredividend.com/sure-analysis-research-database/","AXT Inc")</f>
        <v>0</v>
      </c>
      <c r="C126">
        <v>-0.465895953757225</v>
      </c>
      <c r="D126">
        <v>-0.233830845771144</v>
      </c>
      <c r="E126">
        <v>-0.270142180094786</v>
      </c>
      <c r="F126">
        <v>-0.475595913734392</v>
      </c>
      <c r="G126">
        <v>-0.426799007444168</v>
      </c>
      <c r="H126">
        <v>-0.26782884310618</v>
      </c>
      <c r="I126">
        <v>-0.505882352941176</v>
      </c>
    </row>
    <row r="127" spans="1:9">
      <c r="A127" s="1" t="s">
        <v>139</v>
      </c>
      <c r="B127">
        <f>HYPERLINK("https://www.suredividend.com/sure-analysis-research-database/","AZZ Inc")</f>
        <v>0</v>
      </c>
      <c r="C127">
        <v>-0.08015087223008001</v>
      </c>
      <c r="D127">
        <v>-0.044893902937526</v>
      </c>
      <c r="E127">
        <v>-0.144500863830496</v>
      </c>
      <c r="F127">
        <v>-0.286195138370578</v>
      </c>
      <c r="G127">
        <v>-0.279349161056782</v>
      </c>
      <c r="H127">
        <v>0.09980551875757501</v>
      </c>
      <c r="I127">
        <v>-0.099277945005632</v>
      </c>
    </row>
    <row r="128" spans="1:9">
      <c r="A128" s="1" t="s">
        <v>140</v>
      </c>
      <c r="B128">
        <f>HYPERLINK("https://www.suredividend.com/sure-analysis-research-database/","Barnes Group Inc.")</f>
        <v>0</v>
      </c>
      <c r="C128">
        <v>-0.017468587189702</v>
      </c>
      <c r="D128">
        <v>0.047715842208634</v>
      </c>
      <c r="E128">
        <v>-0.124517337615169</v>
      </c>
      <c r="F128">
        <v>-0.302881322394556</v>
      </c>
      <c r="G128">
        <v>-0.25244192201239</v>
      </c>
      <c r="H128">
        <v>-0.157016796558651</v>
      </c>
      <c r="I128">
        <v>-0.516447715720728</v>
      </c>
    </row>
    <row r="129" spans="1:9">
      <c r="A129" s="1" t="s">
        <v>141</v>
      </c>
      <c r="B129">
        <f>HYPERLINK("https://www.suredividend.com/sure-analysis-research-database/","Ballys Corporation")</f>
        <v>0</v>
      </c>
      <c r="C129">
        <v>-0.185538339292808</v>
      </c>
      <c r="D129">
        <v>0.013847675568743</v>
      </c>
      <c r="E129">
        <v>-0.254816430388949</v>
      </c>
      <c r="F129">
        <v>-0.461376773515501</v>
      </c>
      <c r="G129">
        <v>-0.5992179863147601</v>
      </c>
      <c r="H129">
        <v>-0.171717171717171</v>
      </c>
      <c r="I129">
        <v>-0.307355211898623</v>
      </c>
    </row>
    <row r="130" spans="1:9">
      <c r="A130" s="1" t="s">
        <v>142</v>
      </c>
      <c r="B130">
        <f>HYPERLINK("https://www.suredividend.com/sure-analysis-research-database/","Banc of California Inc")</f>
        <v>0</v>
      </c>
      <c r="C130">
        <v>-0.07054935035331601</v>
      </c>
      <c r="D130">
        <v>-0.101174369967871</v>
      </c>
      <c r="E130">
        <v>-0.09454785683752301</v>
      </c>
      <c r="F130">
        <v>-0.160230666254762</v>
      </c>
      <c r="G130">
        <v>-0.158102297539346</v>
      </c>
      <c r="H130">
        <v>0.465896120003954</v>
      </c>
      <c r="I130">
        <v>-0.125548877582204</v>
      </c>
    </row>
    <row r="131" spans="1:9">
      <c r="A131" s="1" t="s">
        <v>143</v>
      </c>
      <c r="B131">
        <f>HYPERLINK("https://www.suredividend.com/sure-analysis-research-database/","Bandwidth Inc")</f>
        <v>0</v>
      </c>
      <c r="C131">
        <v>-0.342944785276073</v>
      </c>
      <c r="D131">
        <v>-0.451893551688843</v>
      </c>
      <c r="E131">
        <v>-0.667803970223325</v>
      </c>
      <c r="F131">
        <v>-0.8507525083612041</v>
      </c>
      <c r="G131">
        <v>-0.8642929548910281</v>
      </c>
      <c r="H131">
        <v>-0.9398719964069161</v>
      </c>
      <c r="I131">
        <v>-0.494572911750825</v>
      </c>
    </row>
    <row r="132" spans="1:9">
      <c r="A132" s="1" t="s">
        <v>144</v>
      </c>
      <c r="B132">
        <f>HYPERLINK("https://www.suredividend.com/sure-analysis-BANF/","Bancfirst Corp.")</f>
        <v>0</v>
      </c>
      <c r="C132">
        <v>-0.08074978313820801</v>
      </c>
      <c r="D132">
        <v>-0.08968009044858101</v>
      </c>
      <c r="E132">
        <v>0.114400267948616</v>
      </c>
      <c r="F132">
        <v>0.298546632172676</v>
      </c>
      <c r="G132">
        <v>0.4608578867762491</v>
      </c>
      <c r="H132">
        <v>1.11295063633668</v>
      </c>
      <c r="I132">
        <v>0.7369774672757281</v>
      </c>
    </row>
    <row r="133" spans="1:9">
      <c r="A133" s="1" t="s">
        <v>145</v>
      </c>
      <c r="B133">
        <f>HYPERLINK("https://www.suredividend.com/sure-analysis-research-database/","Banner Corp.")</f>
        <v>0</v>
      </c>
      <c r="C133">
        <v>0.006223386832623</v>
      </c>
      <c r="D133">
        <v>0.077847462830577</v>
      </c>
      <c r="E133">
        <v>0.124354237464932</v>
      </c>
      <c r="F133">
        <v>0.035743606255594</v>
      </c>
      <c r="G133">
        <v>0.089666963440112</v>
      </c>
      <c r="H133">
        <v>0.828887129325895</v>
      </c>
      <c r="I133">
        <v>0.16598821486521</v>
      </c>
    </row>
    <row r="134" spans="1:9">
      <c r="A134" s="1" t="s">
        <v>146</v>
      </c>
      <c r="B134">
        <f>HYPERLINK("https://www.suredividend.com/sure-analysis-research-database/","Couchbase Inc")</f>
        <v>0</v>
      </c>
      <c r="C134">
        <v>-0.153205128205128</v>
      </c>
      <c r="D134">
        <v>-0.26365663322185</v>
      </c>
      <c r="E134">
        <v>-0.23729792147806</v>
      </c>
      <c r="F134">
        <v>-0.470753205128205</v>
      </c>
      <c r="G134">
        <v>-0.5868001251172971</v>
      </c>
      <c r="H134">
        <v>-0.565460526315789</v>
      </c>
      <c r="I134">
        <v>-0.565460526315789</v>
      </c>
    </row>
    <row r="135" spans="1:9">
      <c r="A135" s="1" t="s">
        <v>147</v>
      </c>
      <c r="B135">
        <f>HYPERLINK("https://www.suredividend.com/sure-analysis-research-database/","Liberty Media Corp.")</f>
        <v>0</v>
      </c>
      <c r="C135">
        <v>-0.038939241356159</v>
      </c>
      <c r="D135">
        <v>0.08983631518842701</v>
      </c>
      <c r="E135">
        <v>0.043367346938775</v>
      </c>
      <c r="F135">
        <v>-0.004173913043478</v>
      </c>
      <c r="G135">
        <v>0.069880418535126</v>
      </c>
      <c r="H135">
        <v>0.267936226749335</v>
      </c>
      <c r="I135">
        <v>0.128498226251478</v>
      </c>
    </row>
    <row r="136" spans="1:9">
      <c r="A136" s="1" t="s">
        <v>148</v>
      </c>
      <c r="B136">
        <f>HYPERLINK("https://www.suredividend.com/sure-analysis-research-database/","Liberty Media Corp.")</f>
        <v>0</v>
      </c>
      <c r="C136">
        <v>-0.025774991292232</v>
      </c>
      <c r="D136">
        <v>0.113012335853561</v>
      </c>
      <c r="E136">
        <v>0.058667676003027</v>
      </c>
      <c r="F136">
        <v>-0.004626334519573</v>
      </c>
      <c r="G136">
        <v>0.06471259992386701</v>
      </c>
      <c r="H136">
        <v>0.258209626630679</v>
      </c>
      <c r="I136">
        <v>0.109920634920634</v>
      </c>
    </row>
    <row r="137" spans="1:9">
      <c r="A137" s="1" t="s">
        <v>149</v>
      </c>
      <c r="B137">
        <f>HYPERLINK("https://www.suredividend.com/sure-analysis-research-database/","Bed, Bath &amp; Beyond Inc.")</f>
        <v>0</v>
      </c>
      <c r="C137">
        <v>-0.406494960806271</v>
      </c>
      <c r="D137">
        <v>0.04125736738703301</v>
      </c>
      <c r="E137">
        <v>-0.7279260780287471</v>
      </c>
      <c r="F137">
        <v>-0.636488340192043</v>
      </c>
      <c r="G137">
        <v>-0.6430976430976431</v>
      </c>
      <c r="H137">
        <v>-0.7530288909599251</v>
      </c>
      <c r="I137">
        <v>-0.731593926932776</v>
      </c>
    </row>
    <row r="138" spans="1:9">
      <c r="A138" s="1" t="s">
        <v>150</v>
      </c>
      <c r="B138">
        <f>HYPERLINK("https://www.suredividend.com/sure-analysis-research-database/","Concrete Pumping Holdings Inc")</f>
        <v>0</v>
      </c>
      <c r="C138">
        <v>-0.09375000000000001</v>
      </c>
      <c r="D138">
        <v>0.01592356687898</v>
      </c>
      <c r="E138">
        <v>-0.009316770186335002</v>
      </c>
      <c r="F138">
        <v>-0.221951219512195</v>
      </c>
      <c r="G138">
        <v>-0.244970414201183</v>
      </c>
      <c r="H138">
        <v>0.595</v>
      </c>
      <c r="I138">
        <v>-0.345641025641025</v>
      </c>
    </row>
    <row r="139" spans="1:9">
      <c r="A139" s="1" t="s">
        <v>151</v>
      </c>
      <c r="B139">
        <f>HYPERLINK("https://www.suredividend.com/sure-analysis-research-database/","BridgeBio Pharma Inc")</f>
        <v>0</v>
      </c>
      <c r="C139">
        <v>-0.121083827265029</v>
      </c>
      <c r="D139">
        <v>0.029761904761904</v>
      </c>
      <c r="E139">
        <v>-0.051188299817184</v>
      </c>
      <c r="F139">
        <v>-0.377697841726618</v>
      </c>
      <c r="G139">
        <v>-0.7646792110632511</v>
      </c>
      <c r="H139">
        <v>-0.736146415861718</v>
      </c>
      <c r="I139">
        <v>-0.623230490018148</v>
      </c>
    </row>
    <row r="140" spans="1:9">
      <c r="A140" s="1" t="s">
        <v>152</v>
      </c>
      <c r="B140">
        <f>HYPERLINK("https://www.suredividend.com/sure-analysis-research-database/","Barrett Business Services Inc.")</f>
        <v>0</v>
      </c>
      <c r="C140">
        <v>-0.042442563482466</v>
      </c>
      <c r="D140">
        <v>0.059307296766564</v>
      </c>
      <c r="E140">
        <v>0.09107492718359601</v>
      </c>
      <c r="F140">
        <v>0.160140054791309</v>
      </c>
      <c r="G140">
        <v>-0.015377958590917</v>
      </c>
      <c r="H140">
        <v>0.472261470960065</v>
      </c>
      <c r="I140">
        <v>0.497051834403646</v>
      </c>
    </row>
    <row r="141" spans="1:9">
      <c r="A141" s="1" t="s">
        <v>153</v>
      </c>
      <c r="B141">
        <f>HYPERLINK("https://www.suredividend.com/sure-analysis-research-database/","BioAtla Inc")</f>
        <v>0</v>
      </c>
      <c r="C141">
        <v>-0.137853107344632</v>
      </c>
      <c r="D141">
        <v>0.9219143576826191</v>
      </c>
      <c r="E141">
        <v>0.619957537154989</v>
      </c>
      <c r="F141">
        <v>-0.611309220580743</v>
      </c>
      <c r="G141">
        <v>-0.7156168468132681</v>
      </c>
      <c r="H141">
        <v>-0.754029658284977</v>
      </c>
      <c r="I141">
        <v>-0.754029658284977</v>
      </c>
    </row>
    <row r="142" spans="1:9">
      <c r="A142" s="1" t="s">
        <v>154</v>
      </c>
      <c r="B142">
        <f>HYPERLINK("https://www.suredividend.com/sure-analysis-research-database/","Boise Cascade Co")</f>
        <v>0</v>
      </c>
      <c r="C142">
        <v>0.025023607176581</v>
      </c>
      <c r="D142">
        <v>0.06900524900780901</v>
      </c>
      <c r="E142">
        <v>-0.042522694696607</v>
      </c>
      <c r="F142">
        <v>-0.08219129822089101</v>
      </c>
      <c r="G142">
        <v>0.184552259979484</v>
      </c>
      <c r="H142">
        <v>0.6237238697131741</v>
      </c>
      <c r="I142">
        <v>1.140652680499452</v>
      </c>
    </row>
    <row r="143" spans="1:9">
      <c r="A143" s="1" t="s">
        <v>155</v>
      </c>
      <c r="B143">
        <f>HYPERLINK("https://www.suredividend.com/sure-analysis-research-database/","Atreca Inc")</f>
        <v>0</v>
      </c>
      <c r="C143">
        <v>-0.163157894736842</v>
      </c>
      <c r="D143">
        <v>-0.383720930232558</v>
      </c>
      <c r="E143">
        <v>-0.464646464646464</v>
      </c>
      <c r="F143">
        <v>-0.4752475247524751</v>
      </c>
      <c r="G143">
        <v>-0.7258620689655171</v>
      </c>
      <c r="H143">
        <v>-0.893716577540106</v>
      </c>
      <c r="I143">
        <v>-0.91191135734072</v>
      </c>
    </row>
    <row r="144" spans="1:9">
      <c r="A144" s="1" t="s">
        <v>156</v>
      </c>
      <c r="B144">
        <f>HYPERLINK("https://www.suredividend.com/sure-analysis-research-database/","Brink`s Co.")</f>
        <v>0</v>
      </c>
      <c r="C144">
        <v>0.020129403306973</v>
      </c>
      <c r="D144">
        <v>-0.042083518976062</v>
      </c>
      <c r="E144">
        <v>-0.094788815953151</v>
      </c>
      <c r="F144">
        <v>-0.125710668147433</v>
      </c>
      <c r="G144">
        <v>-0.097051098699187</v>
      </c>
      <c r="H144">
        <v>0.188676163231456</v>
      </c>
      <c r="I144">
        <v>-0.289769350219037</v>
      </c>
    </row>
    <row r="145" spans="1:9">
      <c r="A145" s="1" t="s">
        <v>157</v>
      </c>
      <c r="B145">
        <f>HYPERLINK("https://www.suredividend.com/sure-analysis-research-database/","Blucora Inc")</f>
        <v>0</v>
      </c>
      <c r="C145">
        <v>0.007770762506071001</v>
      </c>
      <c r="D145">
        <v>0.132641921397379</v>
      </c>
      <c r="E145">
        <v>0.081292339760291</v>
      </c>
      <c r="F145">
        <v>0.198036951501154</v>
      </c>
      <c r="G145">
        <v>0.286422814631122</v>
      </c>
      <c r="H145">
        <v>0.9159741458910431</v>
      </c>
      <c r="I145">
        <v>-0.18145956607495</v>
      </c>
    </row>
    <row r="146" spans="1:9">
      <c r="A146" s="1" t="s">
        <v>158</v>
      </c>
      <c r="B146">
        <f>HYPERLINK("https://www.suredividend.com/sure-analysis-research-database/","Brightcove Inc")</f>
        <v>0</v>
      </c>
      <c r="C146">
        <v>-0.072992700729927</v>
      </c>
      <c r="D146">
        <v>-0.024577572964669</v>
      </c>
      <c r="E146">
        <v>-0.16005291005291</v>
      </c>
      <c r="F146">
        <v>-0.37866927592955</v>
      </c>
      <c r="G146">
        <v>-0.475639966969446</v>
      </c>
      <c r="H146">
        <v>-0.407649253731343</v>
      </c>
      <c r="I146">
        <v>-0.124137931034482</v>
      </c>
    </row>
    <row r="147" spans="1:9">
      <c r="A147" s="1" t="s">
        <v>159</v>
      </c>
      <c r="B147">
        <f>HYPERLINK("https://www.suredividend.com/sure-analysis-research-database/","Balchem Corp.")</f>
        <v>0</v>
      </c>
      <c r="C147">
        <v>-0.07442662269524801</v>
      </c>
      <c r="D147">
        <v>-0.052700214789813</v>
      </c>
      <c r="E147">
        <v>-0.08322197475872301</v>
      </c>
      <c r="F147">
        <v>-0.267556346381969</v>
      </c>
      <c r="G147">
        <v>-0.1891347071226</v>
      </c>
      <c r="H147">
        <v>0.204913322151612</v>
      </c>
      <c r="I147">
        <v>0.5500421746028551</v>
      </c>
    </row>
    <row r="148" spans="1:9">
      <c r="A148" s="1" t="s">
        <v>160</v>
      </c>
      <c r="B148">
        <f>HYPERLINK("https://www.suredividend.com/sure-analysis-research-database/","Biocryst Pharmaceuticals Inc.")</f>
        <v>0</v>
      </c>
      <c r="C148">
        <v>0.017843866171003</v>
      </c>
      <c r="D148">
        <v>0.133278145695364</v>
      </c>
      <c r="E148">
        <v>0.231115107913669</v>
      </c>
      <c r="F148">
        <v>-0.011552346570397</v>
      </c>
      <c r="G148">
        <v>-0.05325034578146601</v>
      </c>
      <c r="H148">
        <v>2.501278772378516</v>
      </c>
      <c r="I148">
        <v>1.63776493256262</v>
      </c>
    </row>
    <row r="149" spans="1:9">
      <c r="A149" s="1" t="s">
        <v>161</v>
      </c>
      <c r="B149">
        <f>HYPERLINK("https://www.suredividend.com/sure-analysis-research-database/","Belden Inc")</f>
        <v>0</v>
      </c>
      <c r="C149">
        <v>-0.044745417144521</v>
      </c>
      <c r="D149">
        <v>0.116748748379499</v>
      </c>
      <c r="E149">
        <v>0.2735233742201</v>
      </c>
      <c r="F149">
        <v>-0.039460377168536</v>
      </c>
      <c r="G149">
        <v>0.065915092423319</v>
      </c>
      <c r="H149">
        <v>0.862896497861086</v>
      </c>
      <c r="I149">
        <v>-0.25437905772553</v>
      </c>
    </row>
    <row r="150" spans="1:9">
      <c r="A150" s="1" t="s">
        <v>162</v>
      </c>
      <c r="B150">
        <f>HYPERLINK("https://www.suredividend.com/sure-analysis-BDN/","Brandywine Realty Trust")</f>
        <v>0</v>
      </c>
      <c r="C150">
        <v>-0.254352670372456</v>
      </c>
      <c r="D150">
        <v>-0.322211216347063</v>
      </c>
      <c r="E150">
        <v>-0.5112477227675091</v>
      </c>
      <c r="F150">
        <v>-0.5208723427690271</v>
      </c>
      <c r="G150">
        <v>-0.528944030197085</v>
      </c>
      <c r="H150">
        <v>-0.369610897761031</v>
      </c>
      <c r="I150">
        <v>-0.5609386828160481</v>
      </c>
    </row>
    <row r="151" spans="1:9">
      <c r="A151" s="1" t="s">
        <v>163</v>
      </c>
      <c r="B151">
        <f>HYPERLINK("https://www.suredividend.com/sure-analysis-research-database/","Biodesix Inc")</f>
        <v>0</v>
      </c>
      <c r="C151">
        <v>-0.278688524590163</v>
      </c>
      <c r="D151">
        <v>-0.274725274725274</v>
      </c>
      <c r="E151">
        <v>-0.214285714285714</v>
      </c>
      <c r="F151">
        <v>-0.7504725897920601</v>
      </c>
      <c r="G151">
        <v>-0.8290155440414501</v>
      </c>
      <c r="H151">
        <v>-0.8969555035128801</v>
      </c>
      <c r="I151">
        <v>-0.8969555035128801</v>
      </c>
    </row>
    <row r="152" spans="1:9">
      <c r="A152" s="1" t="s">
        <v>164</v>
      </c>
      <c r="B152">
        <f>HYPERLINK("https://www.suredividend.com/sure-analysis-research-database/","Black Diamond Therapeutics Inc")</f>
        <v>0</v>
      </c>
      <c r="C152">
        <v>-0.51360544217687</v>
      </c>
      <c r="D152">
        <v>-0.520134228187919</v>
      </c>
      <c r="E152">
        <v>-0.56797583081571</v>
      </c>
      <c r="F152">
        <v>-0.73170731707317</v>
      </c>
      <c r="G152">
        <v>-0.8133159268929501</v>
      </c>
      <c r="H152">
        <v>-0.9576672587329781</v>
      </c>
      <c r="I152">
        <v>-0.9637791286727451</v>
      </c>
    </row>
    <row r="153" spans="1:9">
      <c r="A153" s="1" t="s">
        <v>165</v>
      </c>
      <c r="B153">
        <f>HYPERLINK("https://www.suredividend.com/sure-analysis-research-database/","Bloom Energy Corp")</f>
        <v>0</v>
      </c>
      <c r="C153">
        <v>-0.330527926549349</v>
      </c>
      <c r="D153">
        <v>-0.074074074074073</v>
      </c>
      <c r="E153">
        <v>-0.223946784922394</v>
      </c>
      <c r="F153">
        <v>-0.202006383948928</v>
      </c>
      <c r="G153">
        <v>-0.08616187989556101</v>
      </c>
      <c r="H153">
        <v>-0.236474694589877</v>
      </c>
      <c r="I153">
        <v>-0.3</v>
      </c>
    </row>
    <row r="154" spans="1:9">
      <c r="A154" s="1" t="s">
        <v>166</v>
      </c>
      <c r="B154">
        <f>HYPERLINK("https://www.suredividend.com/sure-analysis-research-database/","Beam Therapeutics Inc")</f>
        <v>0</v>
      </c>
      <c r="C154">
        <v>-0.18848895844201</v>
      </c>
      <c r="D154">
        <v>-0.102672562968659</v>
      </c>
      <c r="E154">
        <v>-0.09851265211512401</v>
      </c>
      <c r="F154">
        <v>-0.4143556280587271</v>
      </c>
      <c r="G154">
        <v>-0.441546009333492</v>
      </c>
      <c r="H154">
        <v>0.5868752125127501</v>
      </c>
      <c r="I154">
        <v>1.489066666666666</v>
      </c>
    </row>
    <row r="155" spans="1:9">
      <c r="A155" s="1" t="s">
        <v>167</v>
      </c>
      <c r="B155">
        <f>HYPERLINK("https://www.suredividend.com/sure-analysis-research-database/","Beacon Roofing Supply Inc")</f>
        <v>0</v>
      </c>
      <c r="C155">
        <v>0.03555634176543401</v>
      </c>
      <c r="D155">
        <v>0.05935577271082101</v>
      </c>
      <c r="E155">
        <v>0.049291987811435</v>
      </c>
      <c r="F155">
        <v>0.020749782040104</v>
      </c>
      <c r="G155">
        <v>0.200574241181296</v>
      </c>
      <c r="H155">
        <v>0.632914923291492</v>
      </c>
      <c r="I155">
        <v>0.117175572519083</v>
      </c>
    </row>
    <row r="156" spans="1:9">
      <c r="A156" s="1" t="s">
        <v>168</v>
      </c>
      <c r="B156">
        <f>HYPERLINK("https://www.suredividend.com/sure-analysis-research-database/","Beam Global")</f>
        <v>0</v>
      </c>
      <c r="C156">
        <v>-0.157018813314037</v>
      </c>
      <c r="D156">
        <v>-0.18645251396648</v>
      </c>
      <c r="E156">
        <v>-0.491710296684118</v>
      </c>
      <c r="F156">
        <v>-0.373655913978494</v>
      </c>
      <c r="G156">
        <v>-0.5510597302504811</v>
      </c>
      <c r="H156">
        <v>-0.310242747187685</v>
      </c>
      <c r="I156">
        <v>0.259459459459459</v>
      </c>
    </row>
    <row r="157" spans="1:9">
      <c r="A157" s="1" t="s">
        <v>169</v>
      </c>
      <c r="B157">
        <f>HYPERLINK("https://www.suredividend.com/sure-analysis-research-database/","Bank First Corp")</f>
        <v>0</v>
      </c>
      <c r="C157">
        <v>-0.02246735091832</v>
      </c>
      <c r="D157">
        <v>0.002056269012664</v>
      </c>
      <c r="E157">
        <v>0.091436378561547</v>
      </c>
      <c r="F157">
        <v>0.070383457735522</v>
      </c>
      <c r="G157">
        <v>0.109753702548462</v>
      </c>
      <c r="H157">
        <v>0.293832032486379</v>
      </c>
      <c r="I157">
        <v>2.71256038647343</v>
      </c>
    </row>
    <row r="158" spans="1:9">
      <c r="A158" s="1" t="s">
        <v>170</v>
      </c>
      <c r="B158">
        <f>HYPERLINK("https://www.suredividend.com/sure-analysis-research-database/","Butterfly Network Inc")</f>
        <v>0</v>
      </c>
      <c r="C158">
        <v>-0.300309597523219</v>
      </c>
      <c r="D158">
        <v>0.20855614973262</v>
      </c>
      <c r="E158">
        <v>0.07109004739336401</v>
      </c>
      <c r="F158">
        <v>-0.324364723467862</v>
      </c>
      <c r="G158">
        <v>-0.577964519140989</v>
      </c>
      <c r="H158">
        <v>-0.538775510204081</v>
      </c>
      <c r="I158">
        <v>-0.543434343434343</v>
      </c>
    </row>
    <row r="159" spans="1:9">
      <c r="A159" s="1" t="s">
        <v>171</v>
      </c>
      <c r="B159">
        <f>HYPERLINK("https://www.suredividend.com/sure-analysis-BFS/","Saul Centers, Inc.")</f>
        <v>0</v>
      </c>
      <c r="C159">
        <v>-0.159447004608294</v>
      </c>
      <c r="D159">
        <v>-0.226166107008839</v>
      </c>
      <c r="E159">
        <v>-0.29295611404959</v>
      </c>
      <c r="F159">
        <v>-0.288128449103525</v>
      </c>
      <c r="G159">
        <v>-0.173759620219334</v>
      </c>
      <c r="H159">
        <v>0.464166452607243</v>
      </c>
      <c r="I159">
        <v>-0.2809782480152</v>
      </c>
    </row>
    <row r="160" spans="1:9">
      <c r="A160" s="1" t="s">
        <v>172</v>
      </c>
      <c r="B160">
        <f>HYPERLINK("https://www.suredividend.com/sure-analysis-research-database/","Business First Bancshares Inc.")</f>
        <v>0</v>
      </c>
      <c r="C160">
        <v>-0.055986218776916</v>
      </c>
      <c r="D160">
        <v>0.025060675922765</v>
      </c>
      <c r="E160">
        <v>-0.023442720816886</v>
      </c>
      <c r="F160">
        <v>-0.214142565724139</v>
      </c>
      <c r="G160">
        <v>-0.120787440737383</v>
      </c>
      <c r="H160">
        <v>0.440569918902222</v>
      </c>
      <c r="I160">
        <v>-0.05657941173938801</v>
      </c>
    </row>
    <row r="161" spans="1:9">
      <c r="A161" s="1" t="s">
        <v>173</v>
      </c>
      <c r="B161">
        <f>HYPERLINK("https://www.suredividend.com/sure-analysis-research-database/","BGC Partners Inc")</f>
        <v>0</v>
      </c>
      <c r="C161">
        <v>-0.104513064133016</v>
      </c>
      <c r="D161">
        <v>0.005092111226638001</v>
      </c>
      <c r="E161">
        <v>-0.035410909835226</v>
      </c>
      <c r="F161">
        <v>-0.182903834066624</v>
      </c>
      <c r="G161">
        <v>-0.301347269324141</v>
      </c>
      <c r="H161">
        <v>0.433187606918836</v>
      </c>
      <c r="I161">
        <v>-0.544674992149568</v>
      </c>
    </row>
    <row r="162" spans="1:9">
      <c r="A162" s="1" t="s">
        <v>174</v>
      </c>
      <c r="B162">
        <f>HYPERLINK("https://www.suredividend.com/sure-analysis-research-database/","Big 5 Sporting Goods Corp")</f>
        <v>0</v>
      </c>
      <c r="C162">
        <v>-0.137096774193548</v>
      </c>
      <c r="D162">
        <v>-0.09171165665002801</v>
      </c>
      <c r="E162">
        <v>-0.365252623523619</v>
      </c>
      <c r="F162">
        <v>-0.416820636919068</v>
      </c>
      <c r="G162">
        <v>-0.5291612028831171</v>
      </c>
      <c r="H162">
        <v>0.528505921174806</v>
      </c>
      <c r="I162">
        <v>1.020316453306144</v>
      </c>
    </row>
    <row r="163" spans="1:9">
      <c r="A163" s="1" t="s">
        <v>175</v>
      </c>
      <c r="B163">
        <f>HYPERLINK("https://www.suredividend.com/sure-analysis-BGS/","B&amp;G Foods, Inc")</f>
        <v>0</v>
      </c>
      <c r="C163">
        <v>-0.25326911546828</v>
      </c>
      <c r="D163">
        <v>-0.334813487351745</v>
      </c>
      <c r="E163">
        <v>-0.419028269845369</v>
      </c>
      <c r="F163">
        <v>-0.477800455321965</v>
      </c>
      <c r="G163">
        <v>-0.441539527661766</v>
      </c>
      <c r="H163">
        <v>-0.397322946118991</v>
      </c>
      <c r="I163">
        <v>-0.310070137528155</v>
      </c>
    </row>
    <row r="164" spans="1:9">
      <c r="A164" s="1" t="s">
        <v>176</v>
      </c>
      <c r="B164">
        <f>HYPERLINK("https://www.suredividend.com/sure-analysis-research-database/","Biglari Holdings Inc.")</f>
        <v>0</v>
      </c>
      <c r="C164">
        <v>0.01829753381066</v>
      </c>
      <c r="D164">
        <v>0.04370515329419401</v>
      </c>
      <c r="E164">
        <v>-0.05528083253376601</v>
      </c>
      <c r="F164">
        <v>-0.102195412779687</v>
      </c>
      <c r="G164">
        <v>-0.238004524348136</v>
      </c>
      <c r="H164">
        <v>0.4165559982293051</v>
      </c>
      <c r="I164">
        <v>-0.61342152154873</v>
      </c>
    </row>
    <row r="165" spans="1:9">
      <c r="A165" s="1" t="s">
        <v>177</v>
      </c>
      <c r="B165">
        <f>HYPERLINK("https://www.suredividend.com/sure-analysis-BHB/","Bar Harbor Bankshares Inc")</f>
        <v>0</v>
      </c>
      <c r="C165">
        <v>-0.045112781954887</v>
      </c>
      <c r="D165">
        <v>0.023639273665181</v>
      </c>
      <c r="E165">
        <v>-0.022385789220951</v>
      </c>
      <c r="F165">
        <v>-0.05303635530842801</v>
      </c>
      <c r="G165">
        <v>-0.03819800066356</v>
      </c>
      <c r="H165">
        <v>0.254315088465192</v>
      </c>
      <c r="I165">
        <v>0.011131162706055</v>
      </c>
    </row>
    <row r="166" spans="1:9">
      <c r="A166" s="1" t="s">
        <v>178</v>
      </c>
      <c r="B166">
        <f>HYPERLINK("https://www.suredividend.com/sure-analysis-research-database/","Benchmark Electronics Inc.")</f>
        <v>0</v>
      </c>
      <c r="C166">
        <v>-0.03838170358908501</v>
      </c>
      <c r="D166">
        <v>0.158892957041821</v>
      </c>
      <c r="E166">
        <v>0.09790673825179401</v>
      </c>
      <c r="F166">
        <v>-0.040615692786168</v>
      </c>
      <c r="G166">
        <v>-0.028278321224948</v>
      </c>
      <c r="H166">
        <v>0.223970217365197</v>
      </c>
      <c r="I166">
        <v>-0.190769435984082</v>
      </c>
    </row>
    <row r="167" spans="1:9">
      <c r="A167" s="1" t="s">
        <v>179</v>
      </c>
      <c r="B167">
        <f>HYPERLINK("https://www.suredividend.com/sure-analysis-research-database/","Bright Health Group Inc")</f>
        <v>0</v>
      </c>
      <c r="C167">
        <v>-0.4417177914110421</v>
      </c>
      <c r="D167">
        <v>-0.553921568627451</v>
      </c>
      <c r="E167">
        <v>-0.502732240437158</v>
      </c>
      <c r="F167">
        <v>-0.7354651162790691</v>
      </c>
      <c r="G167">
        <v>-0.8734353268428371</v>
      </c>
      <c r="H167">
        <v>-0.9453125</v>
      </c>
      <c r="I167">
        <v>-0.9453125</v>
      </c>
    </row>
    <row r="168" spans="1:9">
      <c r="A168" s="1" t="s">
        <v>180</v>
      </c>
      <c r="B168">
        <f>HYPERLINK("https://www.suredividend.com/sure-analysis-research-database/","Berkshire Hills Bancorp Inc.")</f>
        <v>0</v>
      </c>
      <c r="C168">
        <v>-0.03454231433506001</v>
      </c>
      <c r="D168">
        <v>0.115069597098824</v>
      </c>
      <c r="E168">
        <v>0.030361566591954</v>
      </c>
      <c r="F168">
        <v>-0.004200528005301</v>
      </c>
      <c r="G168">
        <v>0.044457648083167</v>
      </c>
      <c r="H168">
        <v>1.643026004728132</v>
      </c>
      <c r="I168">
        <v>-0.177658194143278</v>
      </c>
    </row>
    <row r="169" spans="1:9">
      <c r="A169" s="1" t="s">
        <v>181</v>
      </c>
      <c r="B169">
        <f>HYPERLINK("https://www.suredividend.com/sure-analysis-research-database/","Braemar Hotels &amp; Resorts Inc")</f>
        <v>0</v>
      </c>
      <c r="C169">
        <v>-0.193272844614859</v>
      </c>
      <c r="D169">
        <v>-0.049217002237136</v>
      </c>
      <c r="E169">
        <v>-0.210917192721871</v>
      </c>
      <c r="F169">
        <v>-0.161636485580147</v>
      </c>
      <c r="G169">
        <v>-0.094144979431762</v>
      </c>
      <c r="H169">
        <v>0.696674517944828</v>
      </c>
      <c r="I169">
        <v>-0.569567947497417</v>
      </c>
    </row>
    <row r="170" spans="1:9">
      <c r="A170" s="1" t="s">
        <v>182</v>
      </c>
      <c r="B170">
        <f>HYPERLINK("https://www.suredividend.com/sure-analysis-research-database/","Biohaven Ltd")</f>
        <v>0</v>
      </c>
      <c r="C170">
        <v>0.498630136986301</v>
      </c>
      <c r="D170">
        <v>0.498630136986301</v>
      </c>
      <c r="E170">
        <v>0.498630136986301</v>
      </c>
      <c r="F170">
        <v>0.498630136986301</v>
      </c>
      <c r="G170">
        <v>0.498630136986301</v>
      </c>
      <c r="H170">
        <v>0.498630136986301</v>
      </c>
      <c r="I170">
        <v>0.498630136986301</v>
      </c>
    </row>
    <row r="171" spans="1:9">
      <c r="A171" s="1" t="s">
        <v>183</v>
      </c>
      <c r="B171">
        <f>HYPERLINK("https://www.suredividend.com/sure-analysis-BIG/","Big Lots Inc")</f>
        <v>0</v>
      </c>
      <c r="C171">
        <v>-0.245644599303135</v>
      </c>
      <c r="D171">
        <v>-0.233231363139324</v>
      </c>
      <c r="E171">
        <v>-0.4950319540980541</v>
      </c>
      <c r="F171">
        <v>-0.6024623463902571</v>
      </c>
      <c r="G171">
        <v>-0.618771749489898</v>
      </c>
      <c r="H171">
        <v>-0.6344117342857201</v>
      </c>
      <c r="I171">
        <v>-0.606526391356302</v>
      </c>
    </row>
    <row r="172" spans="1:9">
      <c r="A172" s="1" t="s">
        <v>184</v>
      </c>
      <c r="B172">
        <f>HYPERLINK("https://www.suredividend.com/sure-analysis-research-database/","BigCommerce Holdings Inc")</f>
        <v>0</v>
      </c>
      <c r="C172">
        <v>-0.196586227192466</v>
      </c>
      <c r="D172">
        <v>-0.266523374529822</v>
      </c>
      <c r="E172">
        <v>-0.339941972920696</v>
      </c>
      <c r="F172">
        <v>-0.6140797285835451</v>
      </c>
      <c r="G172">
        <v>-0.730662983425414</v>
      </c>
      <c r="H172">
        <v>-0.860372340425531</v>
      </c>
      <c r="I172">
        <v>-0.811124948111249</v>
      </c>
    </row>
    <row r="173" spans="1:9">
      <c r="A173" s="1" t="s">
        <v>185</v>
      </c>
      <c r="B173">
        <f>HYPERLINK("https://www.suredividend.com/sure-analysis-research-database/","Brookfield Infrastructure Corp")</f>
        <v>0</v>
      </c>
      <c r="C173">
        <v>-0.206232062320623</v>
      </c>
      <c r="D173">
        <v>-0.081140600675855</v>
      </c>
      <c r="E173">
        <v>-0.230911326380019</v>
      </c>
      <c r="F173">
        <v>-0.129719451399596</v>
      </c>
      <c r="G173">
        <v>0.01990016989556</v>
      </c>
      <c r="H173">
        <v>0.096430371574363</v>
      </c>
      <c r="I173">
        <v>0.9238604406196891</v>
      </c>
    </row>
    <row r="174" spans="1:9">
      <c r="A174" s="1" t="s">
        <v>186</v>
      </c>
      <c r="B174">
        <f>HYPERLINK("https://www.suredividend.com/sure-analysis-research-database/","BJ`s Wholesale Club Holdings Inc")</f>
        <v>0</v>
      </c>
      <c r="C174">
        <v>-0.116335065264225</v>
      </c>
      <c r="D174">
        <v>0.032884017182639</v>
      </c>
      <c r="E174">
        <v>-0.004994292237442</v>
      </c>
      <c r="F174">
        <v>0.041212483201433</v>
      </c>
      <c r="G174">
        <v>0.260028912179255</v>
      </c>
      <c r="H174">
        <v>0.7090686274509801</v>
      </c>
      <c r="I174">
        <v>2.169545454545455</v>
      </c>
    </row>
    <row r="175" spans="1:9">
      <c r="A175" s="1" t="s">
        <v>187</v>
      </c>
      <c r="B175">
        <f>HYPERLINK("https://www.suredividend.com/sure-analysis-research-database/","BJ`s Restaurant Inc.")</f>
        <v>0</v>
      </c>
      <c r="C175">
        <v>-0.09859675036927601</v>
      </c>
      <c r="D175">
        <v>0.169061302681992</v>
      </c>
      <c r="E175">
        <v>-0.001227495908347</v>
      </c>
      <c r="F175">
        <v>-0.293487698986975</v>
      </c>
      <c r="G175">
        <v>-0.387606623181133</v>
      </c>
      <c r="H175">
        <v>-0.261198547215496</v>
      </c>
      <c r="I175">
        <v>-0.17294608733364</v>
      </c>
    </row>
    <row r="176" spans="1:9">
      <c r="A176" s="1" t="s">
        <v>188</v>
      </c>
      <c r="B176">
        <f>HYPERLINK("https://www.suredividend.com/sure-analysis-research-database/","Brookdale Senior Living Inc")</f>
        <v>0</v>
      </c>
      <c r="C176">
        <v>-0.09900990099009901</v>
      </c>
      <c r="D176">
        <v>0.050808314087759</v>
      </c>
      <c r="E176">
        <v>-0.360056258790436</v>
      </c>
      <c r="F176">
        <v>-0.118217054263566</v>
      </c>
      <c r="G176">
        <v>-0.325925925925925</v>
      </c>
      <c r="H176">
        <v>0.625</v>
      </c>
      <c r="I176">
        <v>-0.5662535748331741</v>
      </c>
    </row>
    <row r="177" spans="1:9">
      <c r="A177" s="1" t="s">
        <v>189</v>
      </c>
      <c r="B177">
        <f>HYPERLINK("https://www.suredividend.com/sure-analysis-research-database/","Buckle, Inc.")</f>
        <v>0</v>
      </c>
      <c r="C177">
        <v>-0.014084507042253</v>
      </c>
      <c r="D177">
        <v>0.199935717729407</v>
      </c>
      <c r="E177">
        <v>0.055727320714878</v>
      </c>
      <c r="F177">
        <v>-0.186808878304496</v>
      </c>
      <c r="G177">
        <v>-0.15821330774569</v>
      </c>
      <c r="H177">
        <v>0.5413197550402531</v>
      </c>
      <c r="I177">
        <v>1.457919108126495</v>
      </c>
    </row>
    <row r="178" spans="1:9">
      <c r="A178" s="1" t="s">
        <v>190</v>
      </c>
      <c r="B178">
        <f>HYPERLINK("https://www.suredividend.com/sure-analysis-BKH/","Black Hills Corporation")</f>
        <v>0</v>
      </c>
      <c r="C178">
        <v>-0.165985177613084</v>
      </c>
      <c r="D178">
        <v>-0.075536343305039</v>
      </c>
      <c r="E178">
        <v>-0.157155014004372</v>
      </c>
      <c r="F178">
        <v>-0.052327438510903</v>
      </c>
      <c r="G178">
        <v>0.05461131909626801</v>
      </c>
      <c r="H178">
        <v>0.20859851087035</v>
      </c>
      <c r="I178">
        <v>0.127804608326781</v>
      </c>
    </row>
    <row r="179" spans="1:9">
      <c r="A179" s="1" t="s">
        <v>191</v>
      </c>
      <c r="B179">
        <f>HYPERLINK("https://www.suredividend.com/sure-analysis-research-database/","BankUnited Inc")</f>
        <v>0</v>
      </c>
      <c r="C179">
        <v>-0.05871413390010601</v>
      </c>
      <c r="D179">
        <v>0.0100088657284</v>
      </c>
      <c r="E179">
        <v>-0.148648843479222</v>
      </c>
      <c r="F179">
        <v>-0.147392966894397</v>
      </c>
      <c r="G179">
        <v>-0.141263697243948</v>
      </c>
      <c r="H179">
        <v>0.529323911926827</v>
      </c>
      <c r="I179">
        <v>0.156584501180088</v>
      </c>
    </row>
    <row r="180" spans="1:9">
      <c r="A180" s="1" t="s">
        <v>192</v>
      </c>
      <c r="B180">
        <f>HYPERLINK("https://www.suredividend.com/sure-analysis-research-database/","BlackLine Inc")</f>
        <v>0</v>
      </c>
      <c r="C180">
        <v>-0.178527523562354</v>
      </c>
      <c r="D180">
        <v>-0.206072607260726</v>
      </c>
      <c r="E180">
        <v>-0.135049618869552</v>
      </c>
      <c r="F180">
        <v>-0.419161676646706</v>
      </c>
      <c r="G180">
        <v>-0.4887793267596051</v>
      </c>
      <c r="H180">
        <v>-0.389007416438077</v>
      </c>
      <c r="I180">
        <v>0.8163696768347931</v>
      </c>
    </row>
    <row r="181" spans="1:9">
      <c r="A181" s="1" t="s">
        <v>193</v>
      </c>
      <c r="B181">
        <f>HYPERLINK("https://www.suredividend.com/sure-analysis-research-database/","Blue Bird Corp")</f>
        <v>0</v>
      </c>
      <c r="C181">
        <v>-0.253153153153153</v>
      </c>
      <c r="D181">
        <v>-0.08296460176991101</v>
      </c>
      <c r="E181">
        <v>-0.524655963302752</v>
      </c>
      <c r="F181">
        <v>-0.469948849104859</v>
      </c>
      <c r="G181">
        <v>-0.590009891196834</v>
      </c>
      <c r="H181">
        <v>-0.335737179487179</v>
      </c>
      <c r="I181">
        <v>-0.6080378250591011</v>
      </c>
    </row>
    <row r="182" spans="1:9">
      <c r="A182" s="1" t="s">
        <v>194</v>
      </c>
      <c r="B182">
        <f>HYPERLINK("https://www.suredividend.com/sure-analysis-research-database/","Biolife Solutions Inc")</f>
        <v>0</v>
      </c>
      <c r="C182">
        <v>-0.211870773854244</v>
      </c>
      <c r="D182">
        <v>0.197488584474885</v>
      </c>
      <c r="E182">
        <v>0.03758654797230401</v>
      </c>
      <c r="F182">
        <v>-0.437080762006976</v>
      </c>
      <c r="G182">
        <v>-0.453361125586242</v>
      </c>
      <c r="H182">
        <v>-0.277050310130944</v>
      </c>
      <c r="I182">
        <v>2.746428571428572</v>
      </c>
    </row>
    <row r="183" spans="1:9">
      <c r="A183" s="1" t="s">
        <v>195</v>
      </c>
      <c r="B183">
        <f>HYPERLINK("https://www.suredividend.com/sure-analysis-research-database/","Blue Foundry Bancorp")</f>
        <v>0</v>
      </c>
      <c r="C183">
        <v>-0.0008787346221440001</v>
      </c>
      <c r="D183">
        <v>-0.060330578512396</v>
      </c>
      <c r="E183">
        <v>-0.137983320697498</v>
      </c>
      <c r="F183">
        <v>-0.22282980177717</v>
      </c>
      <c r="G183">
        <v>-0.178468208092485</v>
      </c>
      <c r="H183">
        <v>-0.11860465116279</v>
      </c>
      <c r="I183">
        <v>-0.11860465116279</v>
      </c>
    </row>
    <row r="184" spans="1:9">
      <c r="A184" s="1" t="s">
        <v>196</v>
      </c>
      <c r="B184">
        <f>HYPERLINK("https://www.suredividend.com/sure-analysis-research-database/","Berkeley Lights Inc")</f>
        <v>0</v>
      </c>
      <c r="C184">
        <v>-0.358585858585858</v>
      </c>
      <c r="D184">
        <v>-0.557491289198606</v>
      </c>
      <c r="E184">
        <v>-0.5773710482529111</v>
      </c>
      <c r="F184">
        <v>-0.8602860286028601</v>
      </c>
      <c r="G184">
        <v>-0.8595909342177991</v>
      </c>
      <c r="H184">
        <v>-0.9697511015838991</v>
      </c>
      <c r="I184">
        <v>-0.9611917494270431</v>
      </c>
    </row>
    <row r="185" spans="1:9">
      <c r="A185" s="1" t="s">
        <v>197</v>
      </c>
      <c r="B185">
        <f>HYPERLINK("https://www.suredividend.com/sure-analysis-research-database/","Blackbaud Inc")</f>
        <v>0</v>
      </c>
      <c r="C185">
        <v>0.018678725914274</v>
      </c>
      <c r="D185">
        <v>-0.119177150629037</v>
      </c>
      <c r="E185">
        <v>-0.09612700628053</v>
      </c>
      <c r="F185">
        <v>-0.344011142061281</v>
      </c>
      <c r="G185">
        <v>-0.294814209881584</v>
      </c>
      <c r="H185">
        <v>-0.135491406641081</v>
      </c>
      <c r="I185">
        <v>-0.413234999326143</v>
      </c>
    </row>
    <row r="186" spans="1:9">
      <c r="A186" s="1" t="s">
        <v>198</v>
      </c>
      <c r="B186">
        <f>HYPERLINK("https://www.suredividend.com/sure-analysis-research-database/","Bloomin Brands Inc")</f>
        <v>0</v>
      </c>
      <c r="C186">
        <v>-0.083729781160799</v>
      </c>
      <c r="D186">
        <v>0.164337186245587</v>
      </c>
      <c r="E186">
        <v>-0.045972627438936</v>
      </c>
      <c r="F186">
        <v>-0.06429452860071701</v>
      </c>
      <c r="G186">
        <v>-0.181014504462748</v>
      </c>
      <c r="H186">
        <v>0.132781254411141</v>
      </c>
      <c r="I186">
        <v>0.177218439421537</v>
      </c>
    </row>
    <row r="187" spans="1:9">
      <c r="A187" s="1" t="s">
        <v>199</v>
      </c>
      <c r="B187">
        <f>HYPERLINK("https://www.suredividend.com/sure-analysis-research-database/","Blink Charging Co")</f>
        <v>0</v>
      </c>
      <c r="C187">
        <v>-0.306459001374255</v>
      </c>
      <c r="D187">
        <v>-0.171319102353585</v>
      </c>
      <c r="E187">
        <v>-0.395608782435129</v>
      </c>
      <c r="F187">
        <v>-0.428894756695586</v>
      </c>
      <c r="G187">
        <v>-0.4411221853082311</v>
      </c>
      <c r="H187">
        <v>0.551229508196721</v>
      </c>
      <c r="I187">
        <v>21.26470588235295</v>
      </c>
    </row>
    <row r="188" spans="1:9">
      <c r="A188" s="1" t="s">
        <v>200</v>
      </c>
      <c r="B188">
        <f>HYPERLINK("https://www.suredividend.com/sure-analysis-research-database/","Bluebird bio Inc")</f>
        <v>0</v>
      </c>
      <c r="C188">
        <v>-0.072829131652661</v>
      </c>
      <c r="D188">
        <v>0.285436893203883</v>
      </c>
      <c r="E188">
        <v>0.402542372881356</v>
      </c>
      <c r="F188">
        <v>-0.337337337337337</v>
      </c>
      <c r="G188">
        <v>-0.470221994590182</v>
      </c>
      <c r="H188">
        <v>-0.8243262966550341</v>
      </c>
      <c r="I188">
        <v>-0.923138637231783</v>
      </c>
    </row>
    <row r="189" spans="1:9">
      <c r="A189" s="1" t="s">
        <v>201</v>
      </c>
      <c r="B189">
        <f>HYPERLINK("https://www.suredividend.com/sure-analysis-research-database/","Banco Latinoamericano De Comercio Exterior SA")</f>
        <v>0</v>
      </c>
      <c r="C189">
        <v>-0.110067114093959</v>
      </c>
      <c r="D189">
        <v>0.002070643713253</v>
      </c>
      <c r="E189">
        <v>-0.08534061749855101</v>
      </c>
      <c r="F189">
        <v>-0.159504069369437</v>
      </c>
      <c r="G189">
        <v>-0.236390650104521</v>
      </c>
      <c r="H189">
        <v>0.149654496744379</v>
      </c>
      <c r="I189">
        <v>-0.366798464271388</v>
      </c>
    </row>
    <row r="190" spans="1:9">
      <c r="A190" s="1" t="s">
        <v>202</v>
      </c>
      <c r="B190">
        <f>HYPERLINK("https://www.suredividend.com/sure-analysis-research-database/","Biomea Fusion Inc")</f>
        <v>0</v>
      </c>
      <c r="C190">
        <v>-0.289909638554216</v>
      </c>
      <c r="D190">
        <v>-0.199490662139218</v>
      </c>
      <c r="E190">
        <v>1.058951965065502</v>
      </c>
      <c r="F190">
        <v>0.265771812080536</v>
      </c>
      <c r="G190">
        <v>-0.227682227682227</v>
      </c>
      <c r="H190">
        <v>-0.493010752688172</v>
      </c>
      <c r="I190">
        <v>-0.493010752688172</v>
      </c>
    </row>
    <row r="191" spans="1:9">
      <c r="A191" s="1" t="s">
        <v>203</v>
      </c>
      <c r="B191">
        <f>HYPERLINK("https://www.suredividend.com/sure-analysis-BMI/","Badger Meter Inc.")</f>
        <v>0</v>
      </c>
      <c r="C191">
        <v>-0.03728499330518</v>
      </c>
      <c r="D191">
        <v>0.15446371226718</v>
      </c>
      <c r="E191">
        <v>-0.02177689773398</v>
      </c>
      <c r="F191">
        <v>-0.116720137212192</v>
      </c>
      <c r="G191">
        <v>-0.103333026354161</v>
      </c>
      <c r="H191">
        <v>0.347929291035628</v>
      </c>
      <c r="I191">
        <v>0.9208203610657291</v>
      </c>
    </row>
    <row r="192" spans="1:9">
      <c r="A192" s="1" t="s">
        <v>204</v>
      </c>
      <c r="B192">
        <f>HYPERLINK("https://www.suredividend.com/sure-analysis-research-database/","Bank of Marin Bancorp")</f>
        <v>0</v>
      </c>
      <c r="C192">
        <v>0.01098901098901</v>
      </c>
      <c r="D192">
        <v>-0.022887791407785</v>
      </c>
      <c r="E192">
        <v>-0.026981964326819</v>
      </c>
      <c r="F192">
        <v>-0.141626190280178</v>
      </c>
      <c r="G192">
        <v>-0.152877454299255</v>
      </c>
      <c r="H192">
        <v>0.035219984246652</v>
      </c>
      <c r="I192">
        <v>-0.001736111111111</v>
      </c>
    </row>
    <row r="193" spans="1:9">
      <c r="A193" s="1" t="s">
        <v>205</v>
      </c>
      <c r="B193">
        <f>HYPERLINK("https://www.suredividend.com/sure-analysis-research-database/","Barnes &amp; Noble Education Inc")</f>
        <v>0</v>
      </c>
      <c r="C193">
        <v>-0.207236842105263</v>
      </c>
      <c r="D193">
        <v>-0.174657534246575</v>
      </c>
      <c r="E193">
        <v>-0.289085545722713</v>
      </c>
      <c r="F193">
        <v>-0.646108663729809</v>
      </c>
      <c r="G193">
        <v>-0.7966244725738391</v>
      </c>
      <c r="H193">
        <v>-0.087121212121212</v>
      </c>
      <c r="I193">
        <v>-0.621664050235478</v>
      </c>
    </row>
    <row r="194" spans="1:9">
      <c r="A194" s="1" t="s">
        <v>206</v>
      </c>
      <c r="B194">
        <f>HYPERLINK("https://www.suredividend.com/sure-analysis-research-database/","Benefitfocus Inc")</f>
        <v>0</v>
      </c>
      <c r="C194">
        <v>-0.129124820659971</v>
      </c>
      <c r="D194">
        <v>-0.250617283950617</v>
      </c>
      <c r="E194">
        <v>-0.499174917491749</v>
      </c>
      <c r="F194">
        <v>-0.430581613508442</v>
      </c>
      <c r="G194">
        <v>-0.436920222634508</v>
      </c>
      <c r="H194">
        <v>-0.4400369003690031</v>
      </c>
      <c r="I194">
        <v>-0.8066878980891721</v>
      </c>
    </row>
    <row r="195" spans="1:9">
      <c r="A195" s="1" t="s">
        <v>207</v>
      </c>
      <c r="B195">
        <f>HYPERLINK("https://www.suredividend.com/sure-analysis-research-database/","Bionano Genomics Inc")</f>
        <v>0</v>
      </c>
      <c r="C195">
        <v>-0.215139442231075</v>
      </c>
      <c r="D195">
        <v>0.208588957055214</v>
      </c>
      <c r="E195">
        <v>-0.104545454545454</v>
      </c>
      <c r="F195">
        <v>-0.341137123745819</v>
      </c>
      <c r="G195">
        <v>-0.617475728155339</v>
      </c>
      <c r="H195">
        <v>2.256198347107438</v>
      </c>
      <c r="I195">
        <v>-0.718168812589413</v>
      </c>
    </row>
    <row r="196" spans="1:9">
      <c r="A196" s="1" t="s">
        <v>208</v>
      </c>
      <c r="B196">
        <f>HYPERLINK("https://www.suredividend.com/sure-analysis-research-database/","Broadstone Net Lease Inc")</f>
        <v>0</v>
      </c>
      <c r="C196">
        <v>-0.211704084237728</v>
      </c>
      <c r="D196">
        <v>-0.276899989485657</v>
      </c>
      <c r="E196">
        <v>-0.281658310543907</v>
      </c>
      <c r="F196">
        <v>-0.364464625504584</v>
      </c>
      <c r="G196">
        <v>-0.369260079123884</v>
      </c>
      <c r="H196">
        <v>-0.09191304452206801</v>
      </c>
      <c r="I196">
        <v>-0.09191304452206801</v>
      </c>
    </row>
    <row r="197" spans="1:9">
      <c r="A197" s="1" t="s">
        <v>209</v>
      </c>
      <c r="B197">
        <f>HYPERLINK("https://www.suredividend.com/sure-analysis-research-database/","Boston Omaha Corp")</f>
        <v>0</v>
      </c>
      <c r="C197">
        <v>-0.123438091631957</v>
      </c>
      <c r="D197">
        <v>0.039982030548068</v>
      </c>
      <c r="E197">
        <v>-0.065401695599515</v>
      </c>
      <c r="F197">
        <v>-0.194222067525234</v>
      </c>
      <c r="G197">
        <v>-0.4004144004144</v>
      </c>
      <c r="H197">
        <v>0.320593268682258</v>
      </c>
      <c r="I197">
        <v>0.350641773628938</v>
      </c>
    </row>
    <row r="198" spans="1:9">
      <c r="A198" s="1" t="s">
        <v>210</v>
      </c>
      <c r="B198">
        <f>HYPERLINK("https://www.suredividend.com/sure-analysis-research-database/","Bolt Biotherapeutics Inc")</f>
        <v>0</v>
      </c>
      <c r="C198">
        <v>-0.175141242937853</v>
      </c>
      <c r="D198">
        <v>-0.381355932203389</v>
      </c>
      <c r="E198">
        <v>-0.441682600382409</v>
      </c>
      <c r="F198">
        <v>-0.70204081632653</v>
      </c>
      <c r="G198">
        <v>-0.8828250401284101</v>
      </c>
      <c r="H198">
        <v>-0.9545878693623641</v>
      </c>
      <c r="I198">
        <v>-0.9545878693623641</v>
      </c>
    </row>
    <row r="199" spans="1:9">
      <c r="A199" s="1" t="s">
        <v>211</v>
      </c>
      <c r="B199">
        <f>HYPERLINK("https://www.suredividend.com/sure-analysis-research-database/","DMC Global Inc")</f>
        <v>0</v>
      </c>
      <c r="C199">
        <v>-0.117855336368234</v>
      </c>
      <c r="D199">
        <v>-0.096373056994818</v>
      </c>
      <c r="E199">
        <v>-0.36834480260775</v>
      </c>
      <c r="F199">
        <v>-0.559707144660439</v>
      </c>
      <c r="G199">
        <v>-0.562029131089904</v>
      </c>
      <c r="H199">
        <v>-0.487812041116005</v>
      </c>
      <c r="I199">
        <v>0.008302305682107</v>
      </c>
    </row>
    <row r="200" spans="1:9">
      <c r="A200" s="1" t="s">
        <v>212</v>
      </c>
      <c r="B200">
        <f>HYPERLINK("https://www.suredividend.com/sure-analysis-research-database/","Boot Barn Holdings Inc")</f>
        <v>0</v>
      </c>
      <c r="C200">
        <v>-0.196669987192258</v>
      </c>
      <c r="D200">
        <v>-0.188587034641368</v>
      </c>
      <c r="E200">
        <v>-0.39379295532646</v>
      </c>
      <c r="F200">
        <v>-0.5412433969930921</v>
      </c>
      <c r="G200">
        <v>-0.4068508983923501</v>
      </c>
      <c r="H200">
        <v>0.7347879532882601</v>
      </c>
      <c r="I200">
        <v>5.867396593673965</v>
      </c>
    </row>
    <row r="201" spans="1:9">
      <c r="A201" s="1" t="s">
        <v>213</v>
      </c>
      <c r="B201">
        <f>HYPERLINK("https://www.suredividend.com/sure-analysis-research-database/","Box Inc")</f>
        <v>0</v>
      </c>
      <c r="C201">
        <v>-0.036845983787767</v>
      </c>
      <c r="D201">
        <v>-0.024626865671641</v>
      </c>
      <c r="E201">
        <v>-0.084413309982486</v>
      </c>
      <c r="F201">
        <v>-0.001909125620465</v>
      </c>
      <c r="G201">
        <v>0.025902668759811</v>
      </c>
      <c r="H201">
        <v>0.459519821328866</v>
      </c>
      <c r="I201">
        <v>0.367154811715481</v>
      </c>
    </row>
    <row r="202" spans="1:9">
      <c r="A202" s="1" t="s">
        <v>214</v>
      </c>
      <c r="B202">
        <f>HYPERLINK("https://www.suredividend.com/sure-analysis-research-database/","Blueprint Medicines Corp")</f>
        <v>0</v>
      </c>
      <c r="C202">
        <v>-0.274615485736821</v>
      </c>
      <c r="D202">
        <v>-0.024743725698126</v>
      </c>
      <c r="E202">
        <v>-0.207069981319155</v>
      </c>
      <c r="F202">
        <v>-0.4848286807954441</v>
      </c>
      <c r="G202">
        <v>-0.4486961734439001</v>
      </c>
      <c r="H202">
        <v>-0.4477029326393751</v>
      </c>
      <c r="I202">
        <v>-0.184451670115282</v>
      </c>
    </row>
    <row r="203" spans="1:9">
      <c r="A203" s="1" t="s">
        <v>215</v>
      </c>
      <c r="B203">
        <f>HYPERLINK("https://www.suredividend.com/sure-analysis-research-database/","Bellring Brands Inc")</f>
        <v>0</v>
      </c>
      <c r="C203">
        <v>-0.164861612515042</v>
      </c>
      <c r="D203">
        <v>-0.12484237074401</v>
      </c>
      <c r="E203">
        <v>-0.159806295399515</v>
      </c>
      <c r="F203">
        <v>-0.15089722675367</v>
      </c>
      <c r="G203">
        <v>-0.15089722675367</v>
      </c>
      <c r="H203">
        <v>-0.15089722675367</v>
      </c>
      <c r="I203">
        <v>-0.15089722675367</v>
      </c>
    </row>
    <row r="204" spans="1:9">
      <c r="A204" s="1" t="s">
        <v>216</v>
      </c>
      <c r="B204">
        <f>HYPERLINK("https://www.suredividend.com/sure-analysis-research-database/","Blue Ridge Bankshares Inc (VA)")</f>
        <v>0</v>
      </c>
      <c r="C204">
        <v>-0.124565066109951</v>
      </c>
      <c r="D204">
        <v>-0.144485399126803</v>
      </c>
      <c r="E204">
        <v>-0.128428608049218</v>
      </c>
      <c r="F204">
        <v>-0.280382118239281</v>
      </c>
      <c r="G204">
        <v>-0.277754493940142</v>
      </c>
      <c r="H204">
        <v>0.424172440338722</v>
      </c>
      <c r="I204">
        <v>0.277183293061788</v>
      </c>
    </row>
    <row r="205" spans="1:9">
      <c r="A205" s="1" t="s">
        <v>217</v>
      </c>
      <c r="B205">
        <f>HYPERLINK("https://www.suredividend.com/sure-analysis-BRC/","Brady Corp.")</f>
        <v>0</v>
      </c>
      <c r="C205">
        <v>-0.043146028045255</v>
      </c>
      <c r="D205">
        <v>-0.05225079312815</v>
      </c>
      <c r="E205">
        <v>-0.06297016461810501</v>
      </c>
      <c r="F205">
        <v>-0.194201275658825</v>
      </c>
      <c r="G205">
        <v>-0.145028117737254</v>
      </c>
      <c r="H205">
        <v>0.04914738304223101</v>
      </c>
      <c r="I205">
        <v>0.208774682696645</v>
      </c>
    </row>
    <row r="206" spans="1:9">
      <c r="A206" s="1" t="s">
        <v>218</v>
      </c>
      <c r="B206">
        <f>HYPERLINK("https://www.suredividend.com/sure-analysis-research-database/","Brookline Bancorp, Inc.")</f>
        <v>0</v>
      </c>
      <c r="C206">
        <v>-0.06269592476489</v>
      </c>
      <c r="D206">
        <v>-0.09360292835976901</v>
      </c>
      <c r="E206">
        <v>-0.188872084585178</v>
      </c>
      <c r="F206">
        <v>-0.241996919820259</v>
      </c>
      <c r="G206">
        <v>-0.212453247642627</v>
      </c>
      <c r="H206">
        <v>0.375518982391976</v>
      </c>
      <c r="I206">
        <v>-0.118845363255262</v>
      </c>
    </row>
    <row r="207" spans="1:9">
      <c r="A207" s="1" t="s">
        <v>219</v>
      </c>
      <c r="B207">
        <f>HYPERLINK("https://www.suredividend.com/sure-analysis-BRMK/","Broadmark Realty Capital Inc")</f>
        <v>0</v>
      </c>
      <c r="C207">
        <v>-0.198451299116856</v>
      </c>
      <c r="D207">
        <v>-0.24014924014924</v>
      </c>
      <c r="E207">
        <v>-0.362343926994107</v>
      </c>
      <c r="F207">
        <v>-0.421798541224263</v>
      </c>
      <c r="G207">
        <v>-0.444031382819349</v>
      </c>
      <c r="H207">
        <v>-0.410851619276088</v>
      </c>
      <c r="I207">
        <v>-0.408807703200226</v>
      </c>
    </row>
    <row r="208" spans="1:9">
      <c r="A208" s="1" t="s">
        <v>220</v>
      </c>
      <c r="B208">
        <f>HYPERLINK("https://www.suredividend.com/sure-analysis-research-database/","BRP Group Inc")</f>
        <v>0</v>
      </c>
      <c r="C208">
        <v>-0.150646950092421</v>
      </c>
      <c r="D208">
        <v>0.053899082568807</v>
      </c>
      <c r="E208">
        <v>0.110797743755036</v>
      </c>
      <c r="F208">
        <v>-0.236499584602603</v>
      </c>
      <c r="G208">
        <v>-0.260064412238325</v>
      </c>
      <c r="H208">
        <v>0.009890109890109001</v>
      </c>
      <c r="I208">
        <v>0.684178375076359</v>
      </c>
    </row>
    <row r="209" spans="1:9">
      <c r="A209" s="1" t="s">
        <v>221</v>
      </c>
      <c r="B209">
        <f>HYPERLINK("https://www.suredividend.com/sure-analysis-research-database/","BrightSpire Capital Inc")</f>
        <v>0</v>
      </c>
      <c r="C209">
        <v>-0.232496278400078</v>
      </c>
      <c r="D209">
        <v>-0.1543425652057</v>
      </c>
      <c r="E209">
        <v>-0.250994308033056</v>
      </c>
      <c r="F209">
        <v>-0.339285714285714</v>
      </c>
      <c r="G209">
        <v>-0.299437545246978</v>
      </c>
      <c r="H209">
        <v>0.136466294469438</v>
      </c>
      <c r="I209">
        <v>-0.608402231297938</v>
      </c>
    </row>
    <row r="210" spans="1:9">
      <c r="A210" s="1" t="s">
        <v>222</v>
      </c>
      <c r="B210">
        <f>HYPERLINK("https://www.suredividend.com/sure-analysis-research-database/","BRT Apartments Corp")</f>
        <v>0</v>
      </c>
      <c r="C210">
        <v>-0.157072727590363</v>
      </c>
      <c r="D210">
        <v>-0.117060405877724</v>
      </c>
      <c r="E210">
        <v>-0.134307872415819</v>
      </c>
      <c r="F210">
        <v>-0.168762705440512</v>
      </c>
      <c r="G210">
        <v>0.050809068536707</v>
      </c>
      <c r="H210">
        <v>0.6564390850963391</v>
      </c>
      <c r="I210">
        <v>1.538237963096913</v>
      </c>
    </row>
    <row r="211" spans="1:9">
      <c r="A211" s="1" t="s">
        <v>223</v>
      </c>
      <c r="B211">
        <f>HYPERLINK("https://www.suredividend.com/sure-analysis-research-database/","Berry Corp")</f>
        <v>0</v>
      </c>
      <c r="C211">
        <v>-0.031973539140022</v>
      </c>
      <c r="D211">
        <v>0.260878306574374</v>
      </c>
      <c r="E211">
        <v>-0.232584564286338</v>
      </c>
      <c r="F211">
        <v>0.135217604923586</v>
      </c>
      <c r="G211">
        <v>0.217128519345134</v>
      </c>
      <c r="H211">
        <v>1.928326051429143</v>
      </c>
      <c r="I211">
        <v>-0.177671630607848</v>
      </c>
    </row>
    <row r="212" spans="1:9">
      <c r="A212" s="1" t="s">
        <v>224</v>
      </c>
      <c r="B212">
        <f>HYPERLINK("https://www.suredividend.com/sure-analysis-research-database/","Bassett Furniture Industries Inc.")</f>
        <v>0</v>
      </c>
      <c r="C212">
        <v>-0.135602094240837</v>
      </c>
      <c r="D212">
        <v>-0.175592340149302</v>
      </c>
      <c r="E212">
        <v>-0.014892956872478</v>
      </c>
      <c r="F212">
        <v>0.08886338754567101</v>
      </c>
      <c r="G212">
        <v>0.005554608132141</v>
      </c>
      <c r="H212">
        <v>0.224014708935085</v>
      </c>
      <c r="I212">
        <v>-0.4557764826876921</v>
      </c>
    </row>
    <row r="213" spans="1:9">
      <c r="A213" s="1" t="s">
        <v>225</v>
      </c>
      <c r="B213">
        <f>HYPERLINK("https://www.suredividend.com/sure-analysis-research-database/","BrightSphere Investment Group Inc")</f>
        <v>0</v>
      </c>
      <c r="C213">
        <v>-0.050990271021542</v>
      </c>
      <c r="D213">
        <v>-0.010730293838004</v>
      </c>
      <c r="E213">
        <v>-0.212832452198034</v>
      </c>
      <c r="F213">
        <v>-0.31616174261392</v>
      </c>
      <c r="G213">
        <v>-0.341874903521421</v>
      </c>
      <c r="H213">
        <v>0.177500842034354</v>
      </c>
      <c r="I213">
        <v>0.156888050564214</v>
      </c>
    </row>
    <row r="214" spans="1:9">
      <c r="A214" s="1" t="s">
        <v>226</v>
      </c>
      <c r="B214">
        <f>HYPERLINK("https://www.suredividend.com/sure-analysis-research-database/","Sierra Bancorp")</f>
        <v>0</v>
      </c>
      <c r="C214">
        <v>-0.02737140160453</v>
      </c>
      <c r="D214">
        <v>-0.027421889378087</v>
      </c>
      <c r="E214">
        <v>-0.115739072233949</v>
      </c>
      <c r="F214">
        <v>-0.218409286556715</v>
      </c>
      <c r="G214">
        <v>-0.143558822673875</v>
      </c>
      <c r="H214">
        <v>0.258042069024452</v>
      </c>
      <c r="I214">
        <v>-0.134146392696749</v>
      </c>
    </row>
    <row r="215" spans="1:9">
      <c r="A215" s="1" t="s">
        <v>227</v>
      </c>
      <c r="B215">
        <f>HYPERLINK("https://www.suredividend.com/sure-analysis-research-database/","BioXcel Therapeutics Inc")</f>
        <v>0</v>
      </c>
      <c r="C215">
        <v>-0.265068493150684</v>
      </c>
      <c r="D215">
        <v>-0.338062924120913</v>
      </c>
      <c r="E215">
        <v>-0.372881355932203</v>
      </c>
      <c r="F215">
        <v>-0.472208558780127</v>
      </c>
      <c r="G215">
        <v>-0.649231775089898</v>
      </c>
      <c r="H215">
        <v>-0.776551436901291</v>
      </c>
      <c r="I215">
        <v>-0.027198549410697</v>
      </c>
    </row>
    <row r="216" spans="1:9">
      <c r="A216" s="1" t="s">
        <v>228</v>
      </c>
      <c r="B216">
        <f>HYPERLINK("https://www.suredividend.com/sure-analysis-research-database/","BTRS Holdings Inc")</f>
        <v>0</v>
      </c>
      <c r="C216">
        <v>0.321022727272727</v>
      </c>
      <c r="D216">
        <v>0.669658886894075</v>
      </c>
      <c r="E216">
        <v>0.322901849217638</v>
      </c>
      <c r="F216">
        <v>0.18925831202046</v>
      </c>
      <c r="G216">
        <v>-0.08734052993130501</v>
      </c>
      <c r="H216">
        <v>-0.08823529411764601</v>
      </c>
      <c r="I216">
        <v>-0.036269430051813</v>
      </c>
    </row>
    <row r="217" spans="1:9">
      <c r="A217" s="1" t="s">
        <v>229</v>
      </c>
      <c r="B217">
        <f>HYPERLINK("https://www.suredividend.com/sure-analysis-research-database/","Peabody Energy Corp.")</f>
        <v>0</v>
      </c>
      <c r="C217">
        <v>0.162880411487355</v>
      </c>
      <c r="D217">
        <v>0.298086124401913</v>
      </c>
      <c r="E217">
        <v>-0.004403669724770001</v>
      </c>
      <c r="F217">
        <v>1.694141012909632</v>
      </c>
      <c r="G217">
        <v>0.6903426791277251</v>
      </c>
      <c r="H217">
        <v>12.29901960784314</v>
      </c>
      <c r="I217">
        <v>0.020373622984545</v>
      </c>
    </row>
    <row r="218" spans="1:9">
      <c r="A218" s="1" t="s">
        <v>230</v>
      </c>
      <c r="B218">
        <f>HYPERLINK("https://www.suredividend.com/sure-analysis-research-database/","Brooklyn ImmunoTherapeutics Inc")</f>
        <v>0</v>
      </c>
      <c r="C218">
        <v>-0.403645833333333</v>
      </c>
      <c r="D218">
        <v>-0.7109802271771141</v>
      </c>
      <c r="E218">
        <v>-0.882228571428571</v>
      </c>
      <c r="F218">
        <v>-0.9505755395683451</v>
      </c>
      <c r="G218">
        <v>-0.9752283653846151</v>
      </c>
      <c r="H218">
        <v>-0.9411142857142851</v>
      </c>
      <c r="I218">
        <v>-0.9832751764992291</v>
      </c>
    </row>
    <row r="219" spans="1:9">
      <c r="A219" s="1" t="s">
        <v>231</v>
      </c>
      <c r="B219">
        <f>HYPERLINK("https://www.suredividend.com/sure-analysis-research-database/","First Busey Corp.")</f>
        <v>0</v>
      </c>
      <c r="C219">
        <v>-0.023175965665236</v>
      </c>
      <c r="D219">
        <v>-0.019768293208148</v>
      </c>
      <c r="E219">
        <v>-0.04810101170634901</v>
      </c>
      <c r="F219">
        <v>-0.138120375349333</v>
      </c>
      <c r="G219">
        <v>-0.087446373441321</v>
      </c>
      <c r="H219">
        <v>0.416806210043388</v>
      </c>
      <c r="I219">
        <v>-0.15267803626806</v>
      </c>
    </row>
    <row r="220" spans="1:9">
      <c r="A220" s="1" t="s">
        <v>232</v>
      </c>
      <c r="B220">
        <f>HYPERLINK("https://www.suredividend.com/sure-analysis-research-database/","BrightView Holdings Inc")</f>
        <v>0</v>
      </c>
      <c r="C220">
        <v>-0.162767039674465</v>
      </c>
      <c r="D220">
        <v>-0.318708609271523</v>
      </c>
      <c r="E220">
        <v>-0.339486356340288</v>
      </c>
      <c r="F220">
        <v>-0.415482954545454</v>
      </c>
      <c r="G220">
        <v>-0.464192708333333</v>
      </c>
      <c r="H220">
        <v>-0.376515151515151</v>
      </c>
      <c r="I220">
        <v>0.155898876404494</v>
      </c>
    </row>
    <row r="221" spans="1:9">
      <c r="A221" s="1" t="s">
        <v>233</v>
      </c>
      <c r="B221">
        <f>HYPERLINK("https://www.suredividend.com/sure-analysis-research-database/","Bluegreen Vacations Holding Corporation")</f>
        <v>0</v>
      </c>
      <c r="C221">
        <v>-0.15732546705998</v>
      </c>
      <c r="D221">
        <v>-0.304515778240351</v>
      </c>
      <c r="E221">
        <v>-0.2940953589035</v>
      </c>
      <c r="F221">
        <v>-0.5058667512324501</v>
      </c>
      <c r="G221">
        <v>-0.314734409608111</v>
      </c>
      <c r="H221">
        <v>0.7466269922145681</v>
      </c>
      <c r="I221">
        <v>-0.53290384468644</v>
      </c>
    </row>
    <row r="222" spans="1:9">
      <c r="A222" s="1" t="s">
        <v>234</v>
      </c>
      <c r="B222">
        <f>HYPERLINK("https://www.suredividend.com/sure-analysis-research-database/","Bioventus Inc")</f>
        <v>0</v>
      </c>
      <c r="C222">
        <v>-0.143033292231812</v>
      </c>
      <c r="D222">
        <v>-0.122474747474747</v>
      </c>
      <c r="E222">
        <v>-0.4774436090225561</v>
      </c>
      <c r="F222">
        <v>-0.520358868184955</v>
      </c>
      <c r="G222">
        <v>-0.498918529199711</v>
      </c>
      <c r="H222">
        <v>-0.638209266007287</v>
      </c>
      <c r="I222">
        <v>-0.638209266007287</v>
      </c>
    </row>
    <row r="223" spans="1:9">
      <c r="A223" s="1" t="s">
        <v>235</v>
      </c>
      <c r="B223">
        <f>HYPERLINK("https://www.suredividend.com/sure-analysis-research-database/","Babcock &amp; Wilcox Enterprises Inc")</f>
        <v>0</v>
      </c>
      <c r="C223">
        <v>-0.224056603773584</v>
      </c>
      <c r="D223">
        <v>0.071661237785016</v>
      </c>
      <c r="E223">
        <v>-0.154241645244215</v>
      </c>
      <c r="F223">
        <v>-0.270509977827051</v>
      </c>
      <c r="G223">
        <v>0.063004846526655</v>
      </c>
      <c r="H223">
        <v>1.663967611336032</v>
      </c>
      <c r="I223">
        <v>-0.8263852242744061</v>
      </c>
    </row>
    <row r="224" spans="1:9">
      <c r="A224" s="1" t="s">
        <v>236</v>
      </c>
      <c r="B224">
        <f>HYPERLINK("https://www.suredividend.com/sure-analysis-research-database/","Bridgewater Bancshares Inc")</f>
        <v>0</v>
      </c>
      <c r="C224">
        <v>-0.029548088064889</v>
      </c>
      <c r="D224">
        <v>0.018237082066869</v>
      </c>
      <c r="E224">
        <v>0.034589252625077</v>
      </c>
      <c r="F224">
        <v>-0.05313736574335701</v>
      </c>
      <c r="G224">
        <v>-0.07560706401766</v>
      </c>
      <c r="H224">
        <v>0.565420560747663</v>
      </c>
      <c r="I224">
        <v>0.327258320126782</v>
      </c>
    </row>
    <row r="225" spans="1:9">
      <c r="A225" s="1" t="s">
        <v>237</v>
      </c>
      <c r="B225">
        <f>HYPERLINK("https://www.suredividend.com/sure-analysis-research-database/","Bluelinx Hldgs Inc")</f>
        <v>0</v>
      </c>
      <c r="C225">
        <v>-0.031904427266338</v>
      </c>
      <c r="D225">
        <v>-0.038525963149078</v>
      </c>
      <c r="E225">
        <v>0.110609480812641</v>
      </c>
      <c r="F225">
        <v>-0.280701754385965</v>
      </c>
      <c r="G225">
        <v>0.373205741626794</v>
      </c>
      <c r="H225">
        <v>1.603174603174602</v>
      </c>
      <c r="I225">
        <v>6.108359133126935</v>
      </c>
    </row>
    <row r="226" spans="1:9">
      <c r="A226" s="1" t="s">
        <v>238</v>
      </c>
      <c r="B226">
        <f>HYPERLINK("https://www.suredividend.com/sure-analysis-BXMT/","Blackstone Mortgage Trust Inc")</f>
        <v>0</v>
      </c>
      <c r="C226">
        <v>-0.233348799932509</v>
      </c>
      <c r="D226">
        <v>-0.205267607276119</v>
      </c>
      <c r="E226">
        <v>-0.270585638463313</v>
      </c>
      <c r="F226">
        <v>-0.239823357394556</v>
      </c>
      <c r="G226">
        <v>-0.247097649467168</v>
      </c>
      <c r="H226">
        <v>0.101526278043212</v>
      </c>
      <c r="I226">
        <v>0.05408148470349401</v>
      </c>
    </row>
    <row r="227" spans="1:9">
      <c r="A227" s="1" t="s">
        <v>239</v>
      </c>
      <c r="B227">
        <f>HYPERLINK("https://www.suredividend.com/sure-analysis-research-database/","Byline Bancorp Inc")</f>
        <v>0</v>
      </c>
      <c r="C227">
        <v>-0.05914467697907101</v>
      </c>
      <c r="D227">
        <v>-0.134213633204665</v>
      </c>
      <c r="E227">
        <v>-0.149023722815464</v>
      </c>
      <c r="F227">
        <v>-0.235393727862282</v>
      </c>
      <c r="G227">
        <v>-0.17367260173257</v>
      </c>
      <c r="H227">
        <v>0.6722597339586781</v>
      </c>
      <c r="I227">
        <v>0.040393216314251</v>
      </c>
    </row>
    <row r="228" spans="1:9">
      <c r="A228" s="1" t="s">
        <v>240</v>
      </c>
      <c r="B228">
        <f>HYPERLINK("https://www.suredividend.com/sure-analysis-research-database/","Byrna Technologies Inc")</f>
        <v>0</v>
      </c>
      <c r="C228">
        <v>-0.248226950354609</v>
      </c>
      <c r="D228">
        <v>-0.421397379912663</v>
      </c>
      <c r="E228">
        <v>-0.357575757575757</v>
      </c>
      <c r="F228">
        <v>-0.6029962546816481</v>
      </c>
      <c r="G228">
        <v>-0.7447013487475911</v>
      </c>
      <c r="H228">
        <v>-0.673645320197044</v>
      </c>
      <c r="I228">
        <v>2.680555555555556</v>
      </c>
    </row>
    <row r="229" spans="1:9">
      <c r="A229" s="1" t="s">
        <v>241</v>
      </c>
      <c r="B229">
        <f>HYPERLINK("https://www.suredividend.com/sure-analysis-research-database/","BeyondSpring Inc")</f>
        <v>0</v>
      </c>
      <c r="C229">
        <v>-0.3676774193548381</v>
      </c>
      <c r="D229">
        <v>-0.4585082872928171</v>
      </c>
      <c r="E229">
        <v>-0.586455696202531</v>
      </c>
      <c r="F229">
        <v>-0.7836423841059601</v>
      </c>
      <c r="G229">
        <v>-0.934485294117647</v>
      </c>
      <c r="H229">
        <v>-0.93619140625</v>
      </c>
      <c r="I229">
        <v>-0.974869166331195</v>
      </c>
    </row>
    <row r="230" spans="1:9">
      <c r="A230" s="1" t="s">
        <v>242</v>
      </c>
      <c r="B230">
        <f>HYPERLINK("https://www.suredividend.com/sure-analysis-research-database/","Beazer Homes USA Inc.")</f>
        <v>0</v>
      </c>
      <c r="C230">
        <v>-0.234477720964207</v>
      </c>
      <c r="D230">
        <v>-0.204855842185128</v>
      </c>
      <c r="E230">
        <v>-0.268156424581005</v>
      </c>
      <c r="F230">
        <v>-0.5486649440137811</v>
      </c>
      <c r="G230">
        <v>-0.3838918283362721</v>
      </c>
      <c r="H230">
        <v>-0.268156424581005</v>
      </c>
      <c r="I230">
        <v>-0.455584415584415</v>
      </c>
    </row>
    <row r="231" spans="1:9">
      <c r="A231" s="1" t="s">
        <v>243</v>
      </c>
      <c r="B231">
        <f>HYPERLINK("https://www.suredividend.com/sure-analysis-research-database/","Camden National Corp.")</f>
        <v>0</v>
      </c>
      <c r="C231">
        <v>-0.092007026789635</v>
      </c>
      <c r="D231">
        <v>-0.07961599843301001</v>
      </c>
      <c r="E231">
        <v>-0.09874565447194301</v>
      </c>
      <c r="F231">
        <v>-0.119080690930472</v>
      </c>
      <c r="G231">
        <v>-0.129568973501848</v>
      </c>
      <c r="H231">
        <v>0.360398743235018</v>
      </c>
      <c r="I231">
        <v>0.09996807831453501</v>
      </c>
    </row>
    <row r="232" spans="1:9">
      <c r="A232" s="1" t="s">
        <v>244</v>
      </c>
      <c r="B232">
        <f>HYPERLINK("https://www.suredividend.com/sure-analysis-research-database/","Cadence Bank")</f>
        <v>0</v>
      </c>
      <c r="C232">
        <v>0.004368327505041</v>
      </c>
      <c r="D232">
        <v>0.100725929807066</v>
      </c>
      <c r="E232">
        <v>-0.0004681109039140001</v>
      </c>
      <c r="F232">
        <v>-0.103214657018335</v>
      </c>
      <c r="G232">
        <v>-0.155043788517677</v>
      </c>
      <c r="H232">
        <v>0.202861008371543</v>
      </c>
      <c r="I232">
        <v>0.430941290209175</v>
      </c>
    </row>
    <row r="233" spans="1:9">
      <c r="A233" s="1" t="s">
        <v>245</v>
      </c>
      <c r="B233">
        <f>HYPERLINK("https://www.suredividend.com/sure-analysis-CAKE/","Cheesecake Factory Inc.")</f>
        <v>0</v>
      </c>
      <c r="C233">
        <v>-0.09435652433562201</v>
      </c>
      <c r="D233">
        <v>0.126119436234832</v>
      </c>
      <c r="E233">
        <v>-0.124473182841637</v>
      </c>
      <c r="F233">
        <v>-0.212138214803385</v>
      </c>
      <c r="G233">
        <v>-0.321345941277292</v>
      </c>
      <c r="H233">
        <v>-0.026055347543784</v>
      </c>
      <c r="I233">
        <v>-0.216849737400653</v>
      </c>
    </row>
    <row r="234" spans="1:9">
      <c r="A234" s="1" t="s">
        <v>246</v>
      </c>
      <c r="B234">
        <f>HYPERLINK("https://www.suredividend.com/sure-analysis-research-database/","Caleres Inc")</f>
        <v>0</v>
      </c>
      <c r="C234">
        <v>-0.047452353169972</v>
      </c>
      <c r="D234">
        <v>-0.070193023220496</v>
      </c>
      <c r="E234">
        <v>0.197309110109415</v>
      </c>
      <c r="F234">
        <v>0.08920931142758001</v>
      </c>
      <c r="G234">
        <v>0.132794612171644</v>
      </c>
      <c r="H234">
        <v>1.497705252422233</v>
      </c>
      <c r="I234">
        <v>-0.113554757630161</v>
      </c>
    </row>
    <row r="235" spans="1:9">
      <c r="A235" s="1" t="s">
        <v>247</v>
      </c>
      <c r="B235">
        <f>HYPERLINK("https://www.suredividend.com/sure-analysis-research-database/","Cal-Maine Foods, Inc.")</f>
        <v>0</v>
      </c>
      <c r="C235">
        <v>-0.047816330053512</v>
      </c>
      <c r="D235">
        <v>0.064207439419663</v>
      </c>
      <c r="E235">
        <v>0.006367335023991</v>
      </c>
      <c r="F235">
        <v>0.516217702034084</v>
      </c>
      <c r="G235">
        <v>0.616277638757845</v>
      </c>
      <c r="H235">
        <v>0.476856512519545</v>
      </c>
      <c r="I235">
        <v>0.353689392582194</v>
      </c>
    </row>
    <row r="236" spans="1:9">
      <c r="A236" s="1" t="s">
        <v>248</v>
      </c>
      <c r="B236">
        <f>HYPERLINK("https://www.suredividend.com/sure-analysis-research-database/","Calix Inc")</f>
        <v>0</v>
      </c>
      <c r="C236">
        <v>0.008103448275861</v>
      </c>
      <c r="D236">
        <v>0.4415680473372781</v>
      </c>
      <c r="E236">
        <v>0.5159450350012961</v>
      </c>
      <c r="F236">
        <v>-0.268850819057146</v>
      </c>
      <c r="G236">
        <v>0.044293623861403</v>
      </c>
      <c r="H236">
        <v>1.87180746561886</v>
      </c>
      <c r="I236">
        <v>9.348672566371681</v>
      </c>
    </row>
    <row r="237" spans="1:9">
      <c r="A237" s="1" t="s">
        <v>249</v>
      </c>
      <c r="B237">
        <f>HYPERLINK("https://www.suredividend.com/sure-analysis-research-database/","Calamp Corp.")</f>
        <v>0</v>
      </c>
      <c r="C237">
        <v>-0.193415637860082</v>
      </c>
      <c r="D237">
        <v>-0.09048723897911801</v>
      </c>
      <c r="E237">
        <v>-0.347753743760399</v>
      </c>
      <c r="F237">
        <v>-0.444759206798866</v>
      </c>
      <c r="G237">
        <v>-0.609561752988047</v>
      </c>
      <c r="H237">
        <v>-0.5056746532156361</v>
      </c>
      <c r="I237">
        <v>-0.8356394129979031</v>
      </c>
    </row>
    <row r="238" spans="1:9">
      <c r="A238" s="1" t="s">
        <v>250</v>
      </c>
      <c r="B238">
        <f>HYPERLINK("https://www.suredividend.com/sure-analysis-research-database/","Avis Budget Group Inc")</f>
        <v>0</v>
      </c>
      <c r="C238">
        <v>0.054462215351685</v>
      </c>
      <c r="D238">
        <v>0.131997191549116</v>
      </c>
      <c r="E238">
        <v>-0.275264598912999</v>
      </c>
      <c r="F238">
        <v>-0.144765395187346</v>
      </c>
      <c r="G238">
        <v>0.28328509406657</v>
      </c>
      <c r="H238">
        <v>4.61767500791891</v>
      </c>
      <c r="I238">
        <v>3.407306163021868</v>
      </c>
    </row>
    <row r="239" spans="1:9">
      <c r="A239" s="1" t="s">
        <v>251</v>
      </c>
      <c r="B239">
        <f>HYPERLINK("https://www.suredividend.com/sure-analysis-research-database/","Cara Therapeutics Inc")</f>
        <v>0</v>
      </c>
      <c r="C239">
        <v>-0.139598540145985</v>
      </c>
      <c r="D239">
        <v>-0.037755102040816</v>
      </c>
      <c r="E239">
        <v>-0.31517792302106</v>
      </c>
      <c r="F239">
        <v>-0.225779967159277</v>
      </c>
      <c r="G239">
        <v>-0.334978843441466</v>
      </c>
      <c r="H239">
        <v>-0.325947105075053</v>
      </c>
      <c r="I239">
        <v>-0.297840655249441</v>
      </c>
    </row>
    <row r="240" spans="1:9">
      <c r="A240" s="1" t="s">
        <v>252</v>
      </c>
      <c r="B240">
        <f>HYPERLINK("https://www.suredividend.com/sure-analysis-research-database/","Carter Bankshares Inc")</f>
        <v>0</v>
      </c>
      <c r="C240">
        <v>-0.05395894428152501</v>
      </c>
      <c r="D240">
        <v>0.167149059334298</v>
      </c>
      <c r="E240">
        <v>-0.07192174913693901</v>
      </c>
      <c r="F240">
        <v>0.048083170890188</v>
      </c>
      <c r="G240">
        <v>0.092078537576167</v>
      </c>
      <c r="H240">
        <v>0.8865497076023391</v>
      </c>
      <c r="I240">
        <v>0.8865497076023391</v>
      </c>
    </row>
    <row r="241" spans="1:9">
      <c r="A241" s="1" t="s">
        <v>253</v>
      </c>
      <c r="B241">
        <f>HYPERLINK("https://www.suredividend.com/sure-analysis-research-database/","CarGurus Inc")</f>
        <v>0</v>
      </c>
      <c r="C241">
        <v>-0.264782836211407</v>
      </c>
      <c r="D241">
        <v>-0.39413540319103</v>
      </c>
      <c r="E241">
        <v>-0.654196406596111</v>
      </c>
      <c r="F241">
        <v>-0.5823424494649221</v>
      </c>
      <c r="G241">
        <v>-0.5949841452868261</v>
      </c>
      <c r="H241">
        <v>-0.3791427308882011</v>
      </c>
      <c r="I241">
        <v>-0.490572878897751</v>
      </c>
    </row>
    <row r="242" spans="1:9">
      <c r="A242" s="1" t="s">
        <v>254</v>
      </c>
      <c r="B242">
        <f>HYPERLINK("https://www.suredividend.com/sure-analysis-research-database/","Cars.com")</f>
        <v>0</v>
      </c>
      <c r="C242">
        <v>0.013502109704641</v>
      </c>
      <c r="D242">
        <v>0.187932739861523</v>
      </c>
      <c r="E242">
        <v>-0.05655930871956</v>
      </c>
      <c r="F242">
        <v>-0.253573648228713</v>
      </c>
      <c r="G242">
        <v>-0.009075907590759</v>
      </c>
      <c r="H242">
        <v>0.386836027713625</v>
      </c>
      <c r="I242">
        <v>-0.5635901162790691</v>
      </c>
    </row>
    <row r="243" spans="1:9">
      <c r="A243" s="1" t="s">
        <v>255</v>
      </c>
      <c r="B243">
        <f>HYPERLINK("https://www.suredividend.com/sure-analysis-research-database/","Casa Systems Inc")</f>
        <v>0</v>
      </c>
      <c r="C243">
        <v>-0.135278514588859</v>
      </c>
      <c r="D243">
        <v>-0.204878048780487</v>
      </c>
      <c r="E243">
        <v>-0.168367346938775</v>
      </c>
      <c r="F243">
        <v>-0.425044091710758</v>
      </c>
      <c r="G243">
        <v>-0.490625</v>
      </c>
      <c r="H243">
        <v>-0.280353200883002</v>
      </c>
      <c r="I243">
        <v>4.015384615384614</v>
      </c>
    </row>
    <row r="244" spans="1:9">
      <c r="A244" s="1" t="s">
        <v>256</v>
      </c>
      <c r="B244">
        <f>HYPERLINK("https://www.suredividend.com/sure-analysis-research-database/","Pathward Financial Inc")</f>
        <v>0</v>
      </c>
      <c r="C244">
        <v>0.007920211205632001</v>
      </c>
      <c r="D244">
        <v>-0.161873539498782</v>
      </c>
      <c r="E244">
        <v>-0.30688495621635</v>
      </c>
      <c r="F244">
        <v>-0.421896267731346</v>
      </c>
      <c r="G244">
        <v>-0.3936559756474161</v>
      </c>
      <c r="H244">
        <v>0.5725112583751321</v>
      </c>
      <c r="I244">
        <v>0.368221113451652</v>
      </c>
    </row>
    <row r="245" spans="1:9">
      <c r="A245" s="1" t="s">
        <v>257</v>
      </c>
      <c r="B245">
        <f>HYPERLINK("https://www.suredividend.com/sure-analysis-research-database/","Cass Information Systems Inc")</f>
        <v>0</v>
      </c>
      <c r="C245">
        <v>-0.017213114754098</v>
      </c>
      <c r="D245">
        <v>0.07716863663451401</v>
      </c>
      <c r="E245">
        <v>-0.03651441612291401</v>
      </c>
      <c r="F245">
        <v>-0.06402710340197601</v>
      </c>
      <c r="G245">
        <v>-0.12417183471026</v>
      </c>
      <c r="H245">
        <v>-0.127193844496371</v>
      </c>
      <c r="I245">
        <v>-0.327347970730193</v>
      </c>
    </row>
    <row r="246" spans="1:9">
      <c r="A246" s="1" t="s">
        <v>258</v>
      </c>
      <c r="B246">
        <f>HYPERLINK("https://www.suredividend.com/sure-analysis-research-database/","Cambridge Bancorp")</f>
        <v>0</v>
      </c>
      <c r="C246">
        <v>-0.046646525679758</v>
      </c>
      <c r="D246">
        <v>-0.02546225380229</v>
      </c>
      <c r="E246">
        <v>-0.013085468374699</v>
      </c>
      <c r="F246">
        <v>-0.137833995066779</v>
      </c>
      <c r="G246">
        <v>-0.068158274893899</v>
      </c>
      <c r="H246">
        <v>0.317668516758558</v>
      </c>
      <c r="I246">
        <v>0.9718802724489151</v>
      </c>
    </row>
    <row r="247" spans="1:9">
      <c r="A247" s="1" t="s">
        <v>259</v>
      </c>
      <c r="B247">
        <f>HYPERLINK("https://www.suredividend.com/sure-analysis-research-database/","Cato Corp.")</f>
        <v>0</v>
      </c>
      <c r="C247">
        <v>-0.014418125643666</v>
      </c>
      <c r="D247">
        <v>-0.170509309017785</v>
      </c>
      <c r="E247">
        <v>-0.313018197480348</v>
      </c>
      <c r="F247">
        <v>-0.417968179827762</v>
      </c>
      <c r="G247">
        <v>-0.401497195104409</v>
      </c>
      <c r="H247">
        <v>0.327083882240372</v>
      </c>
      <c r="I247">
        <v>-0.060945334654747</v>
      </c>
    </row>
    <row r="248" spans="1:9">
      <c r="A248" s="1" t="s">
        <v>260</v>
      </c>
      <c r="B248">
        <f>HYPERLINK("https://www.suredividend.com/sure-analysis-research-database/","Cathay General Bancorp")</f>
        <v>0</v>
      </c>
      <c r="C248">
        <v>-0.031553973902728</v>
      </c>
      <c r="D248">
        <v>0.033721295367753</v>
      </c>
      <c r="E248">
        <v>-0.02191232673208</v>
      </c>
      <c r="F248">
        <v>-0.027578928812202</v>
      </c>
      <c r="G248">
        <v>-0.011950031103483</v>
      </c>
      <c r="H248">
        <v>0.814383500755622</v>
      </c>
      <c r="I248">
        <v>0.153860287362657</v>
      </c>
    </row>
    <row r="249" spans="1:9">
      <c r="A249" s="1" t="s">
        <v>261</v>
      </c>
      <c r="B249">
        <f>HYPERLINK("https://www.suredividend.com/sure-analysis-research-database/","Cymabay Therapeutics Inc")</f>
        <v>0</v>
      </c>
      <c r="C249">
        <v>-0.100271002710027</v>
      </c>
      <c r="D249">
        <v>-0.034883720930232</v>
      </c>
      <c r="E249">
        <v>0.021538461538461</v>
      </c>
      <c r="F249">
        <v>-0.01775147928994</v>
      </c>
      <c r="G249">
        <v>-0.142118863049095</v>
      </c>
      <c r="H249">
        <v>-0.5802781289506951</v>
      </c>
      <c r="I249">
        <v>-0.6286353467561521</v>
      </c>
    </row>
    <row r="250" spans="1:9">
      <c r="A250" s="1" t="s">
        <v>262</v>
      </c>
      <c r="B250">
        <f>HYPERLINK("https://www.suredividend.com/sure-analysis-research-database/","Capital Bancorp Inc")</f>
        <v>0</v>
      </c>
      <c r="C250">
        <v>-0.033864541832669</v>
      </c>
      <c r="D250">
        <v>0.133898178281524</v>
      </c>
      <c r="E250">
        <v>0.106502584881296</v>
      </c>
      <c r="F250">
        <v>-0.06816784506609201</v>
      </c>
      <c r="G250">
        <v>-0.014171538217622</v>
      </c>
      <c r="H250">
        <v>1.330095221623283</v>
      </c>
      <c r="I250">
        <v>0.9150431575705401</v>
      </c>
    </row>
    <row r="251" spans="1:9">
      <c r="A251" s="1" t="s">
        <v>263</v>
      </c>
      <c r="B251">
        <f>HYPERLINK("https://www.suredividend.com/sure-analysis-CBRL/","Cracker Barrel Old Country Store Inc")</f>
        <v>0</v>
      </c>
      <c r="C251">
        <v>-0.189029837412899</v>
      </c>
      <c r="D251">
        <v>0.045172209333786</v>
      </c>
      <c r="E251">
        <v>-0.164484613650064</v>
      </c>
      <c r="F251">
        <v>-0.268552680241172</v>
      </c>
      <c r="G251">
        <v>-0.322420001074812</v>
      </c>
      <c r="H251">
        <v>-0.191004987822299</v>
      </c>
      <c r="I251">
        <v>-0.30205148273696</v>
      </c>
    </row>
    <row r="252" spans="1:9">
      <c r="A252" s="1" t="s">
        <v>264</v>
      </c>
      <c r="B252">
        <f>HYPERLINK("https://www.suredividend.com/sure-analysis-research-database/","Cabot Corp.")</f>
        <v>0</v>
      </c>
      <c r="C252">
        <v>-0.125170625170625</v>
      </c>
      <c r="D252">
        <v>-0.022934884685277</v>
      </c>
      <c r="E252">
        <v>-0.009229056842951</v>
      </c>
      <c r="F252">
        <v>0.158033962250514</v>
      </c>
      <c r="G252">
        <v>0.26497332483307</v>
      </c>
      <c r="H252">
        <v>0.653393597453221</v>
      </c>
      <c r="I252">
        <v>0.273810659543344</v>
      </c>
    </row>
    <row r="253" spans="1:9">
      <c r="A253" s="1" t="s">
        <v>265</v>
      </c>
      <c r="B253">
        <f>HYPERLINK("https://www.suredividend.com/sure-analysis-research-database/","CBTX Inc")</f>
        <v>0</v>
      </c>
      <c r="C253">
        <v>-0.008860952510038001</v>
      </c>
      <c r="D253">
        <v>0.07138540205339701</v>
      </c>
      <c r="E253">
        <v>-0.034073271734176</v>
      </c>
      <c r="F253">
        <v>0.022134006136298</v>
      </c>
      <c r="G253">
        <v>0.119394417187775</v>
      </c>
      <c r="H253">
        <v>0.799689899586532</v>
      </c>
      <c r="I253">
        <v>0.09662277676134501</v>
      </c>
    </row>
    <row r="254" spans="1:9">
      <c r="A254" s="1" t="s">
        <v>266</v>
      </c>
      <c r="B254">
        <f>HYPERLINK("https://www.suredividend.com/sure-analysis-CBU/","Community Bank System, Inc.")</f>
        <v>0</v>
      </c>
      <c r="C254">
        <v>-0.057931043031478</v>
      </c>
      <c r="D254">
        <v>-0.042610147072717</v>
      </c>
      <c r="E254">
        <v>-0.08966363969845101</v>
      </c>
      <c r="F254">
        <v>-0.167277284337827</v>
      </c>
      <c r="G254">
        <v>-0.132434946890178</v>
      </c>
      <c r="H254">
        <v>0.09388521761658901</v>
      </c>
      <c r="I254">
        <v>0.226808180066384</v>
      </c>
    </row>
    <row r="255" spans="1:9">
      <c r="A255" s="1" t="s">
        <v>267</v>
      </c>
      <c r="B255">
        <f>HYPERLINK("https://www.suredividend.com/sure-analysis-research-database/","Cbiz Inc")</f>
        <v>0</v>
      </c>
      <c r="C255">
        <v>-0.013019079685746</v>
      </c>
      <c r="D255">
        <v>0.087021013597033</v>
      </c>
      <c r="E255">
        <v>0.07848908511160101</v>
      </c>
      <c r="F255">
        <v>0.123977505112474</v>
      </c>
      <c r="G255">
        <v>0.262417456215905</v>
      </c>
      <c r="H255">
        <v>0.7946938775510201</v>
      </c>
      <c r="I255">
        <v>1.617261904761904</v>
      </c>
    </row>
    <row r="256" spans="1:9">
      <c r="A256" s="1" t="s">
        <v>268</v>
      </c>
      <c r="B256">
        <f>HYPERLINK("https://www.suredividend.com/sure-analysis-research-database/","Coastal Financial Corp")</f>
        <v>0</v>
      </c>
      <c r="C256">
        <v>-0.030960507069722</v>
      </c>
      <c r="D256">
        <v>0.037046699713018</v>
      </c>
      <c r="E256">
        <v>-0.08092485549132901</v>
      </c>
      <c r="F256">
        <v>-0.21473725800079</v>
      </c>
      <c r="G256">
        <v>0.191189691339526</v>
      </c>
      <c r="H256">
        <v>1.867965367965368</v>
      </c>
      <c r="I256">
        <v>1.423780487804878</v>
      </c>
    </row>
    <row r="257" spans="1:9">
      <c r="A257" s="1" t="s">
        <v>269</v>
      </c>
      <c r="B257">
        <f>HYPERLINK("https://www.suredividend.com/sure-analysis-research-database/","Capital City Bank Group, Inc.")</f>
        <v>0</v>
      </c>
      <c r="C257">
        <v>0.026849828285981</v>
      </c>
      <c r="D257">
        <v>0.1826468420201</v>
      </c>
      <c r="E257">
        <v>0.351467959649086</v>
      </c>
      <c r="F257">
        <v>0.267090699654429</v>
      </c>
      <c r="G257">
        <v>0.274445602600814</v>
      </c>
      <c r="H257">
        <v>0.60067355798244</v>
      </c>
      <c r="I257">
        <v>0.4651378271948111</v>
      </c>
    </row>
    <row r="258" spans="1:9">
      <c r="A258" s="1" t="s">
        <v>270</v>
      </c>
      <c r="B258">
        <f>HYPERLINK("https://www.suredividend.com/sure-analysis-research-database/","C4 Therapeutics Inc")</f>
        <v>0</v>
      </c>
      <c r="C258">
        <v>-0.311665182546749</v>
      </c>
      <c r="D258">
        <v>-0.217611336032388</v>
      </c>
      <c r="E258">
        <v>-0.317137809187279</v>
      </c>
      <c r="F258">
        <v>-0.7599378881987571</v>
      </c>
      <c r="G258">
        <v>-0.8168680407486371</v>
      </c>
      <c r="H258">
        <v>-0.6609649122807011</v>
      </c>
      <c r="I258">
        <v>-0.6967438211063161</v>
      </c>
    </row>
    <row r="259" spans="1:9">
      <c r="A259" s="1" t="s">
        <v>271</v>
      </c>
      <c r="B259">
        <f>HYPERLINK("https://www.suredividend.com/sure-analysis-research-database/","Chase Corp.")</f>
        <v>0</v>
      </c>
      <c r="C259">
        <v>-0.05981750591416</v>
      </c>
      <c r="D259">
        <v>0.07565407913390801</v>
      </c>
      <c r="E259">
        <v>-0.015801886792452</v>
      </c>
      <c r="F259">
        <v>-0.161711530735235</v>
      </c>
      <c r="G259">
        <v>-0.169993257314024</v>
      </c>
      <c r="H259">
        <v>-0.132720023193972</v>
      </c>
      <c r="I259">
        <v>-0.23773791007207</v>
      </c>
    </row>
    <row r="260" spans="1:9">
      <c r="A260" s="1" t="s">
        <v>272</v>
      </c>
      <c r="B260">
        <f>HYPERLINK("https://www.suredividend.com/sure-analysis-research-database/","CMC Materials Inc")</f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>
      <c r="A261" s="1" t="s">
        <v>273</v>
      </c>
      <c r="B261">
        <f>HYPERLINK("https://www.suredividend.com/sure-analysis-research-database/","CNB Financial Corp (PA)")</f>
        <v>0</v>
      </c>
      <c r="C261">
        <v>-0.07884615384615301</v>
      </c>
      <c r="D261">
        <v>-0.005444103467034</v>
      </c>
      <c r="E261">
        <v>-0.031419223598591</v>
      </c>
      <c r="F261">
        <v>-0.08420356300258801</v>
      </c>
      <c r="G261">
        <v>-0.020085185079109</v>
      </c>
      <c r="H261">
        <v>0.507313143518868</v>
      </c>
      <c r="I261">
        <v>-0.043778571856347</v>
      </c>
    </row>
    <row r="262" spans="1:9">
      <c r="A262" s="1" t="s">
        <v>274</v>
      </c>
      <c r="B262">
        <f>HYPERLINK("https://www.suredividend.com/sure-analysis-research-database/","Clear Channel Outdoor Holdings Inc.")</f>
        <v>0</v>
      </c>
      <c r="C262">
        <v>-0.080459770114942</v>
      </c>
      <c r="D262">
        <v>0.441441441441441</v>
      </c>
      <c r="E262">
        <v>-0.496855345911949</v>
      </c>
      <c r="F262">
        <v>-0.516616314199395</v>
      </c>
      <c r="G262">
        <v>-0.409594095940959</v>
      </c>
      <c r="H262">
        <v>0.403508771929824</v>
      </c>
      <c r="I262">
        <v>-0.6404494382022471</v>
      </c>
    </row>
    <row r="263" spans="1:9">
      <c r="A263" s="1" t="s">
        <v>275</v>
      </c>
      <c r="B263">
        <f>HYPERLINK("https://www.suredividend.com/sure-analysis-CCOI/","Cogent Communications Holdings Inc")</f>
        <v>0</v>
      </c>
      <c r="C263">
        <v>-0.03808101549374601</v>
      </c>
      <c r="D263">
        <v>-0.136953561636723</v>
      </c>
      <c r="E263">
        <v>-0.22532363371774</v>
      </c>
      <c r="F263">
        <v>-0.264313268630591</v>
      </c>
      <c r="G263">
        <v>-0.246824619612084</v>
      </c>
      <c r="H263">
        <v>-0.09145886704762</v>
      </c>
      <c r="I263">
        <v>0.293654240590065</v>
      </c>
    </row>
    <row r="264" spans="1:9">
      <c r="A264" s="1" t="s">
        <v>276</v>
      </c>
      <c r="B264">
        <f>HYPERLINK("https://www.suredividend.com/sure-analysis-research-database/","CoreCard Corporation")</f>
        <v>0</v>
      </c>
      <c r="C264">
        <v>-0.119086460032626</v>
      </c>
      <c r="D264">
        <v>-0.09090909090909001</v>
      </c>
      <c r="E264">
        <v>-0.137724550898203</v>
      </c>
      <c r="F264">
        <v>-0.443298969072164</v>
      </c>
      <c r="G264">
        <v>-0.475346125819771</v>
      </c>
      <c r="H264">
        <v>-0.483253588516746</v>
      </c>
      <c r="I264">
        <v>4.192182880219226</v>
      </c>
    </row>
    <row r="265" spans="1:9">
      <c r="A265" s="1" t="s">
        <v>277</v>
      </c>
      <c r="B265">
        <f>HYPERLINK("https://www.suredividend.com/sure-analysis-research-database/","Cross Country Healthcares, Inc.")</f>
        <v>0</v>
      </c>
      <c r="C265">
        <v>0.210052513128282</v>
      </c>
      <c r="D265">
        <v>0.434415295686972</v>
      </c>
      <c r="E265">
        <v>0.572124756335282</v>
      </c>
      <c r="F265">
        <v>0.162103746397694</v>
      </c>
      <c r="G265">
        <v>0.41305300043802</v>
      </c>
      <c r="H265">
        <v>3.437414030261348</v>
      </c>
      <c r="I265">
        <v>1.391401037805781</v>
      </c>
    </row>
    <row r="266" spans="1:9">
      <c r="A266" s="1" t="s">
        <v>278</v>
      </c>
      <c r="B266">
        <f>HYPERLINK("https://www.suredividend.com/sure-analysis-research-database/","Century Communities Inc")</f>
        <v>0</v>
      </c>
      <c r="C266">
        <v>-0.04758842443729901</v>
      </c>
      <c r="D266">
        <v>-0.091359014422093</v>
      </c>
      <c r="E266">
        <v>-0.058969547297211</v>
      </c>
      <c r="F266">
        <v>-0.452809600401987</v>
      </c>
      <c r="G266">
        <v>-0.283007784763552</v>
      </c>
      <c r="H266">
        <v>-0.037413691127437</v>
      </c>
      <c r="I266">
        <v>0.762479768969566</v>
      </c>
    </row>
    <row r="267" spans="1:9">
      <c r="A267" s="1" t="s">
        <v>279</v>
      </c>
      <c r="B267">
        <f>HYPERLINK("https://www.suredividend.com/sure-analysis-research-database/","Consensus Cloud Solutions Inc")</f>
        <v>0</v>
      </c>
      <c r="C267">
        <v>-0.007241878750258001</v>
      </c>
      <c r="D267">
        <v>-0.020816326530612</v>
      </c>
      <c r="E267">
        <v>-0.08887200911507701</v>
      </c>
      <c r="F267">
        <v>-0.17090029376188</v>
      </c>
      <c r="G267">
        <v>-0.260480887792848</v>
      </c>
      <c r="H267">
        <v>-0.260480887792848</v>
      </c>
      <c r="I267">
        <v>-0.260480887792848</v>
      </c>
    </row>
    <row r="268" spans="1:9">
      <c r="A268" s="1" t="s">
        <v>280</v>
      </c>
      <c r="B268">
        <f>HYPERLINK("https://www.suredividend.com/sure-analysis-research-database/","ChemoCentryx Inc")</f>
        <v>0</v>
      </c>
      <c r="C268">
        <v>0.006991648863857</v>
      </c>
      <c r="D268">
        <v>1.155925155925155</v>
      </c>
      <c r="E268">
        <v>1.263203841117416</v>
      </c>
      <c r="F268">
        <v>0.4240593243614391</v>
      </c>
      <c r="G268">
        <v>0.349908877896381</v>
      </c>
      <c r="H268">
        <v>-0.125189809347055</v>
      </c>
      <c r="I268">
        <v>5.707632600258732</v>
      </c>
    </row>
    <row r="269" spans="1:9">
      <c r="A269" s="1" t="s">
        <v>281</v>
      </c>
      <c r="B269">
        <f>HYPERLINK("https://www.suredividend.com/sure-analysis-research-database/","Codiak Biosciences Inc")</f>
        <v>0</v>
      </c>
      <c r="C269">
        <v>-0.624581005586592</v>
      </c>
      <c r="D269">
        <v>-0.789341692789968</v>
      </c>
      <c r="E269">
        <v>-0.8825174825174821</v>
      </c>
      <c r="F269">
        <v>-0.9396768402154391</v>
      </c>
      <c r="G269">
        <v>-0.952842105263158</v>
      </c>
      <c r="H269">
        <v>-0.9445544554455441</v>
      </c>
      <c r="I269">
        <v>-0.9445544554455441</v>
      </c>
    </row>
    <row r="270" spans="1:9">
      <c r="A270" s="1" t="s">
        <v>282</v>
      </c>
      <c r="B270">
        <f>HYPERLINK("https://www.suredividend.com/sure-analysis-research-database/","Coeur Mining Inc")</f>
        <v>0</v>
      </c>
      <c r="C270">
        <v>0.130718954248366</v>
      </c>
      <c r="D270">
        <v>0.226950354609929</v>
      </c>
      <c r="E270">
        <v>-0.252699784017278</v>
      </c>
      <c r="F270">
        <v>-0.313492063492063</v>
      </c>
      <c r="G270">
        <v>-0.441935483870967</v>
      </c>
      <c r="H270">
        <v>-0.5780487804878041</v>
      </c>
      <c r="I270">
        <v>-0.6172566371681411</v>
      </c>
    </row>
    <row r="271" spans="1:9">
      <c r="A271" s="1" t="s">
        <v>283</v>
      </c>
      <c r="B271">
        <f>HYPERLINK("https://www.suredividend.com/sure-analysis-research-database/","Permian Resources Corp")</f>
        <v>0</v>
      </c>
      <c r="C271">
        <v>0.165137614678899</v>
      </c>
      <c r="D271">
        <v>-0.105633802816901</v>
      </c>
      <c r="E271">
        <v>-0.118055555555555</v>
      </c>
      <c r="F271">
        <v>0.274247491638795</v>
      </c>
      <c r="G271">
        <v>0.5119047619047611</v>
      </c>
      <c r="H271">
        <v>9.681244743481916</v>
      </c>
      <c r="I271">
        <v>-0.563573883161512</v>
      </c>
    </row>
    <row r="272" spans="1:9">
      <c r="A272" s="1" t="s">
        <v>284</v>
      </c>
      <c r="B272">
        <f>HYPERLINK("https://www.suredividend.com/sure-analysis-research-database/","Cardlytics Inc")</f>
        <v>0</v>
      </c>
      <c r="C272">
        <v>-0.318181818181818</v>
      </c>
      <c r="D272">
        <v>-0.542586750788643</v>
      </c>
      <c r="E272">
        <v>-0.817418677859391</v>
      </c>
      <c r="F272">
        <v>-0.8683613254652741</v>
      </c>
      <c r="G272">
        <v>-0.893824749816939</v>
      </c>
      <c r="H272">
        <v>-0.8924864063272361</v>
      </c>
      <c r="I272">
        <v>-0.349289454001495</v>
      </c>
    </row>
    <row r="273" spans="1:9">
      <c r="A273" s="1" t="s">
        <v>285</v>
      </c>
      <c r="B273">
        <f>HYPERLINK("https://www.suredividend.com/sure-analysis-research-database/","Avid Bioservices Inc")</f>
        <v>0</v>
      </c>
      <c r="C273">
        <v>-0.03000545553737</v>
      </c>
      <c r="D273">
        <v>-0.017679558011049</v>
      </c>
      <c r="E273">
        <v>-0.06025369978858301</v>
      </c>
      <c r="F273">
        <v>-0.390678546949965</v>
      </c>
      <c r="G273">
        <v>-0.210830004438526</v>
      </c>
      <c r="H273">
        <v>1.211442786069652</v>
      </c>
      <c r="I273">
        <v>3.630208333333334</v>
      </c>
    </row>
    <row r="274" spans="1:9">
      <c r="A274" s="1" t="s">
        <v>286</v>
      </c>
      <c r="B274">
        <f>HYPERLINK("https://www.suredividend.com/sure-analysis-research-database/","Caredx Inc")</f>
        <v>0</v>
      </c>
      <c r="C274">
        <v>-0.123501823866597</v>
      </c>
      <c r="D274">
        <v>-0.3594821020563591</v>
      </c>
      <c r="E274">
        <v>-0.5430589513719091</v>
      </c>
      <c r="F274">
        <v>-0.6301671064204041</v>
      </c>
      <c r="G274">
        <v>-0.731395720217183</v>
      </c>
      <c r="H274">
        <v>-0.688258734130293</v>
      </c>
      <c r="I274">
        <v>1.910034602076124</v>
      </c>
    </row>
    <row r="275" spans="1:9">
      <c r="A275" s="1" t="s">
        <v>287</v>
      </c>
      <c r="B275">
        <f>HYPERLINK("https://www.suredividend.com/sure-analysis-research-database/","Cadre Holdings Inc")</f>
        <v>0</v>
      </c>
      <c r="C275">
        <v>-0.048533140166606</v>
      </c>
      <c r="D275">
        <v>0.162332806810288</v>
      </c>
      <c r="E275">
        <v>0.085613452184657</v>
      </c>
      <c r="F275">
        <v>0.044109347302485</v>
      </c>
      <c r="G275">
        <v>0.742747397820073</v>
      </c>
      <c r="H275">
        <v>0.742747397820073</v>
      </c>
      <c r="I275">
        <v>0.742747397820073</v>
      </c>
    </row>
    <row r="276" spans="1:9">
      <c r="A276" s="1" t="s">
        <v>288</v>
      </c>
      <c r="B276">
        <f>HYPERLINK("https://www.suredividend.com/sure-analysis-research-database/","Chromadex Corp")</f>
        <v>0</v>
      </c>
      <c r="C276">
        <v>-0.125874125874125</v>
      </c>
      <c r="D276">
        <v>-0.342105263157894</v>
      </c>
      <c r="E276">
        <v>-0.465811965811965</v>
      </c>
      <c r="F276">
        <v>-0.665775401069518</v>
      </c>
      <c r="G276">
        <v>-0.7977346278317151</v>
      </c>
      <c r="H276">
        <v>-0.7484909456740441</v>
      </c>
      <c r="I276">
        <v>-0.7099767981438511</v>
      </c>
    </row>
    <row r="277" spans="1:9">
      <c r="A277" s="1" t="s">
        <v>289</v>
      </c>
      <c r="B277">
        <f>HYPERLINK("https://www.suredividend.com/sure-analysis-research-database/","Codexis Inc.")</f>
        <v>0</v>
      </c>
      <c r="C277">
        <v>-0.302910052910052</v>
      </c>
      <c r="D277">
        <v>-0.581746031746031</v>
      </c>
      <c r="E277">
        <v>-0.727225672877846</v>
      </c>
      <c r="F277">
        <v>-0.8314678605692351</v>
      </c>
      <c r="G277">
        <v>-0.8365384615384611</v>
      </c>
      <c r="H277">
        <v>-0.6186685962373371</v>
      </c>
      <c r="I277">
        <v>-0.219259259259259</v>
      </c>
    </row>
    <row r="278" spans="1:9">
      <c r="A278" s="1" t="s">
        <v>290</v>
      </c>
      <c r="B278">
        <f>HYPERLINK("https://www.suredividend.com/sure-analysis-research-database/","Cadiz Inc.")</f>
        <v>0</v>
      </c>
      <c r="C278">
        <v>-0.437125748502994</v>
      </c>
      <c r="D278">
        <v>-0.2</v>
      </c>
      <c r="E278">
        <v>-0.149321266968325</v>
      </c>
      <c r="F278">
        <v>-0.512953367875647</v>
      </c>
      <c r="G278">
        <v>-0.727536231884058</v>
      </c>
      <c r="H278">
        <v>-0.815142576204523</v>
      </c>
      <c r="I278">
        <v>-0.8501992031872511</v>
      </c>
    </row>
    <row r="279" spans="1:9">
      <c r="A279" s="1" t="s">
        <v>291</v>
      </c>
      <c r="B279">
        <f>HYPERLINK("https://www.suredividend.com/sure-analysis-research-database/","Ceco Environmental Corp.")</f>
        <v>0</v>
      </c>
      <c r="C279">
        <v>-0.005102040816326</v>
      </c>
      <c r="D279">
        <v>0.577669902912621</v>
      </c>
      <c r="E279">
        <v>0.9657258064516131</v>
      </c>
      <c r="F279">
        <v>0.565008025682182</v>
      </c>
      <c r="G279">
        <v>0.3674614305750351</v>
      </c>
      <c r="H279">
        <v>0.220275344180225</v>
      </c>
      <c r="I279">
        <v>0.123271889400921</v>
      </c>
    </row>
    <row r="280" spans="1:9">
      <c r="A280" s="1" t="s">
        <v>292</v>
      </c>
      <c r="B280">
        <f>HYPERLINK("https://www.suredividend.com/sure-analysis-research-database/","Consol Energy Inc")</f>
        <v>0</v>
      </c>
      <c r="C280">
        <v>0.029460393807304</v>
      </c>
      <c r="D280">
        <v>0.3876198136468521</v>
      </c>
      <c r="E280">
        <v>0.7891896269321491</v>
      </c>
      <c r="F280">
        <v>2.05997989500726</v>
      </c>
      <c r="G280">
        <v>1.046891110413771</v>
      </c>
      <c r="H280">
        <v>15.16092496460594</v>
      </c>
      <c r="I280">
        <v>2.193006993006993</v>
      </c>
    </row>
    <row r="281" spans="1:9">
      <c r="A281" s="1" t="s">
        <v>293</v>
      </c>
      <c r="B281">
        <f>HYPERLINK("https://www.suredividend.com/sure-analysis-research-database/","Celcuity Inc")</f>
        <v>0</v>
      </c>
      <c r="C281">
        <v>0.119866814650388</v>
      </c>
      <c r="D281">
        <v>0.069989395546129</v>
      </c>
      <c r="E281">
        <v>0.3276315789473681</v>
      </c>
      <c r="F281">
        <v>-0.23502653525398</v>
      </c>
      <c r="G281">
        <v>-0.410630841121495</v>
      </c>
      <c r="H281">
        <v>0.7456747404844291</v>
      </c>
      <c r="I281">
        <v>-0.21171875</v>
      </c>
    </row>
    <row r="282" spans="1:9">
      <c r="A282" s="1" t="s">
        <v>294</v>
      </c>
      <c r="B282">
        <f>HYPERLINK("https://www.suredividend.com/sure-analysis-research-database/","Celsius Holdings Inc")</f>
        <v>0</v>
      </c>
      <c r="C282">
        <v>-0.157556877183045</v>
      </c>
      <c r="D282">
        <v>0.137539834289356</v>
      </c>
      <c r="E282">
        <v>0.7837297621427141</v>
      </c>
      <c r="F282">
        <v>0.196727906664878</v>
      </c>
      <c r="G282">
        <v>-0.05164718384697101</v>
      </c>
      <c r="H282">
        <v>3.061902594446973</v>
      </c>
      <c r="I282">
        <v>15.71161048689138</v>
      </c>
    </row>
    <row r="283" spans="1:9">
      <c r="A283" s="1" t="s">
        <v>295</v>
      </c>
      <c r="B283">
        <f>HYPERLINK("https://www.suredividend.com/sure-analysis-research-database/","Central Garden &amp; Pet Co.")</f>
        <v>0</v>
      </c>
      <c r="C283">
        <v>-0.06488549618320601</v>
      </c>
      <c r="D283">
        <v>-0.135700846660395</v>
      </c>
      <c r="E283">
        <v>-0.166099387338325</v>
      </c>
      <c r="F283">
        <v>-0.301729051871556</v>
      </c>
      <c r="G283">
        <v>-0.251375025463434</v>
      </c>
      <c r="H283">
        <v>-0.139344262295082</v>
      </c>
      <c r="I283">
        <v>-0.046445251686559</v>
      </c>
    </row>
    <row r="284" spans="1:9">
      <c r="A284" s="1" t="s">
        <v>296</v>
      </c>
      <c r="B284">
        <f>HYPERLINK("https://www.suredividend.com/sure-analysis-research-database/","Central Garden &amp; Pet Co.")</f>
        <v>0</v>
      </c>
      <c r="C284">
        <v>-0.057281815725479</v>
      </c>
      <c r="D284">
        <v>-0.126658322903629</v>
      </c>
      <c r="E284">
        <v>-0.153155339805825</v>
      </c>
      <c r="F284">
        <v>-0.270846394984326</v>
      </c>
      <c r="G284">
        <v>-0.209022897302199</v>
      </c>
      <c r="H284">
        <v>-0.09658208182288901</v>
      </c>
      <c r="I284">
        <v>-0.05779098028625401</v>
      </c>
    </row>
    <row r="285" spans="1:9">
      <c r="A285" s="1" t="s">
        <v>297</v>
      </c>
      <c r="B285">
        <f>HYPERLINK("https://www.suredividend.com/sure-analysis-research-database/","Century Aluminum Co.")</f>
        <v>0</v>
      </c>
      <c r="C285">
        <v>-0.257521058965102</v>
      </c>
      <c r="D285">
        <v>-0.152472527472527</v>
      </c>
      <c r="E285">
        <v>-0.7685671417854461</v>
      </c>
      <c r="F285">
        <v>-0.6274154589371981</v>
      </c>
      <c r="G285">
        <v>-0.5700348432055741</v>
      </c>
      <c r="H285">
        <v>-0.225846925972396</v>
      </c>
      <c r="I285">
        <v>-0.6212400245549411</v>
      </c>
    </row>
    <row r="286" spans="1:9">
      <c r="A286" s="1" t="s">
        <v>298</v>
      </c>
      <c r="B286">
        <f>HYPERLINK("https://www.suredividend.com/sure-analysis-research-database/","Cerevel Therapeutics Holdings Inc")</f>
        <v>0</v>
      </c>
      <c r="C286">
        <v>-0.131595881595881</v>
      </c>
      <c r="D286">
        <v>-0.07250859106529201</v>
      </c>
      <c r="E286">
        <v>-0.226647564469914</v>
      </c>
      <c r="F286">
        <v>-0.167489204194941</v>
      </c>
      <c r="G286">
        <v>-0.172085889570552</v>
      </c>
      <c r="H286">
        <v>1.731781376518218</v>
      </c>
      <c r="I286">
        <v>1.731781376518218</v>
      </c>
    </row>
    <row r="287" spans="1:9">
      <c r="A287" s="1" t="s">
        <v>299</v>
      </c>
      <c r="B287">
        <f>HYPERLINK("https://www.suredividend.com/sure-analysis-research-database/","Cerus Corp.")</f>
        <v>0</v>
      </c>
      <c r="C287">
        <v>-0.16144578313253</v>
      </c>
      <c r="D287">
        <v>-0.398963730569948</v>
      </c>
      <c r="E287">
        <v>-0.329479768786127</v>
      </c>
      <c r="F287">
        <v>-0.488986784140969</v>
      </c>
      <c r="G287">
        <v>-0.4228855721393031</v>
      </c>
      <c r="H287">
        <v>-0.489736070381231</v>
      </c>
      <c r="I287">
        <v>0.195876288659793</v>
      </c>
    </row>
    <row r="288" spans="1:9">
      <c r="A288" s="1" t="s">
        <v>300</v>
      </c>
      <c r="B288">
        <f>HYPERLINK("https://www.suredividend.com/sure-analysis-research-database/","Ceva Inc.")</f>
        <v>0</v>
      </c>
      <c r="C288">
        <v>-0.115224913494809</v>
      </c>
      <c r="D288">
        <v>-0.255604075691412</v>
      </c>
      <c r="E288">
        <v>-0.283552815914822</v>
      </c>
      <c r="F288">
        <v>-0.408649398704902</v>
      </c>
      <c r="G288">
        <v>-0.392492278450938</v>
      </c>
      <c r="H288">
        <v>-0.429368444543628</v>
      </c>
      <c r="I288">
        <v>-0.404656577415599</v>
      </c>
    </row>
    <row r="289" spans="1:9">
      <c r="A289" s="1" t="s">
        <v>301</v>
      </c>
      <c r="B289">
        <f>HYPERLINK("https://www.suredividend.com/sure-analysis-research-database/","Crossfirst Bankshares Inc")</f>
        <v>0</v>
      </c>
      <c r="C289">
        <v>-0.002281368821292</v>
      </c>
      <c r="D289">
        <v>-0.004552352048558</v>
      </c>
      <c r="E289">
        <v>-0.088888888888889</v>
      </c>
      <c r="F289">
        <v>-0.159513132607303</v>
      </c>
      <c r="G289">
        <v>-0.034584253127299</v>
      </c>
      <c r="H289">
        <v>0.341513292433537</v>
      </c>
      <c r="I289">
        <v>-0.101369863013698</v>
      </c>
    </row>
    <row r="290" spans="1:9">
      <c r="A290" s="1" t="s">
        <v>302</v>
      </c>
      <c r="B290">
        <f>HYPERLINK("https://www.suredividend.com/sure-analysis-research-database/","Capitol Federal Financial")</f>
        <v>0</v>
      </c>
      <c r="C290">
        <v>-0.10119695321001</v>
      </c>
      <c r="D290">
        <v>-0.09220793493790501</v>
      </c>
      <c r="E290">
        <v>-0.174156910187064</v>
      </c>
      <c r="F290">
        <v>-0.236747026917141</v>
      </c>
      <c r="G290">
        <v>-0.249254708063695</v>
      </c>
      <c r="H290">
        <v>-0.153905249679897</v>
      </c>
      <c r="I290">
        <v>-0.226895790045113</v>
      </c>
    </row>
    <row r="291" spans="1:9">
      <c r="A291" s="1" t="s">
        <v>303</v>
      </c>
      <c r="B291">
        <f>HYPERLINK("https://www.suredividend.com/sure-analysis-research-database/","Cullinan Oncology Inc")</f>
        <v>0</v>
      </c>
      <c r="C291">
        <v>-0.067846607669616</v>
      </c>
      <c r="D291">
        <v>-0.112359550561797</v>
      </c>
      <c r="E291">
        <v>0.07574468085106301</v>
      </c>
      <c r="F291">
        <v>-0.180816591056383</v>
      </c>
      <c r="G291">
        <v>-0.4693534844668341</v>
      </c>
      <c r="H291">
        <v>-0.5773988632564361</v>
      </c>
      <c r="I291">
        <v>-0.5773988632564361</v>
      </c>
    </row>
    <row r="292" spans="1:9">
      <c r="A292" s="1" t="s">
        <v>304</v>
      </c>
      <c r="B292">
        <f>HYPERLINK("https://www.suredividend.com/sure-analysis-research-database/","City Holding Co.")</f>
        <v>0</v>
      </c>
      <c r="C292">
        <v>0.046611149664584</v>
      </c>
      <c r="D292">
        <v>0.127147577984188</v>
      </c>
      <c r="E292">
        <v>0.244132681821556</v>
      </c>
      <c r="F292">
        <v>0.131860709461149</v>
      </c>
      <c r="G292">
        <v>0.179685269512912</v>
      </c>
      <c r="H292">
        <v>0.5894260747376271</v>
      </c>
      <c r="I292">
        <v>0.4202017380168021</v>
      </c>
    </row>
    <row r="293" spans="1:9">
      <c r="A293" s="1" t="s">
        <v>305</v>
      </c>
      <c r="B293">
        <f>HYPERLINK("https://www.suredividend.com/sure-analysis-CHCT/","Community Healthcare Trust Inc")</f>
        <v>0</v>
      </c>
      <c r="C293">
        <v>-0.166174496644295</v>
      </c>
      <c r="D293">
        <v>-0.119684378790798</v>
      </c>
      <c r="E293">
        <v>-0.232510328740585</v>
      </c>
      <c r="F293">
        <v>-0.320733590226961</v>
      </c>
      <c r="G293">
        <v>-0.280657181964088</v>
      </c>
      <c r="H293">
        <v>-0.337232551142559</v>
      </c>
      <c r="I293">
        <v>0.4186340737086821</v>
      </c>
    </row>
    <row r="294" spans="1:9">
      <c r="A294" s="1" t="s">
        <v>306</v>
      </c>
      <c r="B294">
        <f>HYPERLINK("https://www.suredividend.com/sure-analysis-research-database/","Chefs` Warehouse Inc")</f>
        <v>0</v>
      </c>
      <c r="C294">
        <v>-0.11037654498419</v>
      </c>
      <c r="D294">
        <v>-0.219813461053693</v>
      </c>
      <c r="E294">
        <v>-0.026117054751416</v>
      </c>
      <c r="F294">
        <v>-0.07057057057057001</v>
      </c>
      <c r="G294">
        <v>-0.09793063246866801</v>
      </c>
      <c r="H294">
        <v>0.9650793650793651</v>
      </c>
      <c r="I294">
        <v>0.559193954659949</v>
      </c>
    </row>
    <row r="295" spans="1:9">
      <c r="A295" s="1" t="s">
        <v>307</v>
      </c>
      <c r="B295">
        <f>HYPERLINK("https://www.suredividend.com/sure-analysis-research-database/","Chesapeake Energy Corp.")</f>
        <v>0</v>
      </c>
      <c r="C295">
        <v>-0.050107024712979</v>
      </c>
      <c r="D295">
        <v>0.251665061967869</v>
      </c>
      <c r="E295">
        <v>0.071267899270313</v>
      </c>
      <c r="F295">
        <v>0.538745236241445</v>
      </c>
      <c r="G295">
        <v>0.520134029639733</v>
      </c>
      <c r="H295">
        <v>1.252528701687031</v>
      </c>
      <c r="I295">
        <v>1.252528701687031</v>
      </c>
    </row>
    <row r="296" spans="1:9">
      <c r="A296" s="1" t="s">
        <v>308</v>
      </c>
      <c r="B296">
        <f>HYPERLINK("https://www.suredividend.com/sure-analysis-research-database/","Coherus Biosciences Inc")</f>
        <v>0</v>
      </c>
      <c r="C296">
        <v>-0.186200378071833</v>
      </c>
      <c r="D296">
        <v>-0.06413043478260801</v>
      </c>
      <c r="E296">
        <v>-0.3112</v>
      </c>
      <c r="F296">
        <v>-0.4605263157894731</v>
      </c>
      <c r="G296">
        <v>-0.522727272727272</v>
      </c>
      <c r="H296">
        <v>-0.537345513164965</v>
      </c>
      <c r="I296">
        <v>-0.371532846715328</v>
      </c>
    </row>
    <row r="297" spans="1:9">
      <c r="A297" s="1" t="s">
        <v>309</v>
      </c>
      <c r="B297">
        <f>HYPERLINK("https://www.suredividend.com/sure-analysis-research-database/","Chico`s Fas, Inc.")</f>
        <v>0</v>
      </c>
      <c r="C297">
        <v>-0.072490706319702</v>
      </c>
      <c r="D297">
        <v>-0.02156862745098</v>
      </c>
      <c r="E297">
        <v>0.037422037422037</v>
      </c>
      <c r="F297">
        <v>-0.072490706319702</v>
      </c>
      <c r="G297">
        <v>0.111358574610245</v>
      </c>
      <c r="H297">
        <v>3.264957264957266</v>
      </c>
      <c r="I297">
        <v>-0.303383962474871</v>
      </c>
    </row>
    <row r="298" spans="1:9">
      <c r="A298" s="1" t="s">
        <v>310</v>
      </c>
      <c r="B298">
        <f>HYPERLINK("https://www.suredividend.com/sure-analysis-research-database/","Chuy`s Holdings Inc")</f>
        <v>0</v>
      </c>
      <c r="C298">
        <v>0.061695517088326</v>
      </c>
      <c r="D298">
        <v>0.166829268292683</v>
      </c>
      <c r="E298">
        <v>-0.010343400910219</v>
      </c>
      <c r="F298">
        <v>-0.205843293492695</v>
      </c>
      <c r="G298">
        <v>-0.229629629629629</v>
      </c>
      <c r="H298">
        <v>0.069767441860465</v>
      </c>
      <c r="I298">
        <v>0.09473684210526301</v>
      </c>
    </row>
    <row r="299" spans="1:9">
      <c r="A299" s="1" t="s">
        <v>311</v>
      </c>
      <c r="B299">
        <f>HYPERLINK("https://www.suredividend.com/sure-analysis-research-database/","ChampionX Corporation")</f>
        <v>0</v>
      </c>
      <c r="C299">
        <v>-0.06197714570503</v>
      </c>
      <c r="D299">
        <v>0.109193466913621</v>
      </c>
      <c r="E299">
        <v>-0.108709531480565</v>
      </c>
      <c r="F299">
        <v>0.053899879511446</v>
      </c>
      <c r="G299">
        <v>-0.154116858675719</v>
      </c>
      <c r="H299">
        <v>1.468066174146187</v>
      </c>
      <c r="I299">
        <v>-0.445263157894736</v>
      </c>
    </row>
    <row r="300" spans="1:9">
      <c r="A300" s="1" t="s">
        <v>312</v>
      </c>
      <c r="B300">
        <f>HYPERLINK("https://www.suredividend.com/sure-analysis-research-database/","Citizens, Inc.")</f>
        <v>0</v>
      </c>
      <c r="C300">
        <v>-0.09641873278236901</v>
      </c>
      <c r="D300">
        <v>-0.201946472019464</v>
      </c>
      <c r="E300">
        <v>-0.245977011494252</v>
      </c>
      <c r="F300">
        <v>-0.382297551789077</v>
      </c>
      <c r="G300">
        <v>-0.4850863422291991</v>
      </c>
      <c r="H300">
        <v>-0.4402730375426621</v>
      </c>
      <c r="I300">
        <v>-0.557354925775978</v>
      </c>
    </row>
    <row r="301" spans="1:9">
      <c r="A301" s="1" t="s">
        <v>313</v>
      </c>
      <c r="B301">
        <f>HYPERLINK("https://www.suredividend.com/sure-analysis-CIM/","Chimera Investment Corp")</f>
        <v>0</v>
      </c>
      <c r="C301">
        <v>-0.3709512018208641</v>
      </c>
      <c r="D301">
        <v>-0.433035009806352</v>
      </c>
      <c r="E301">
        <v>-0.51098105173101</v>
      </c>
      <c r="F301">
        <v>-0.6307281189892371</v>
      </c>
      <c r="G301">
        <v>-0.6264943937031261</v>
      </c>
      <c r="H301">
        <v>-0.283046837139029</v>
      </c>
      <c r="I301">
        <v>-0.534237696189638</v>
      </c>
    </row>
    <row r="302" spans="1:9">
      <c r="A302" s="1" t="s">
        <v>314</v>
      </c>
      <c r="B302">
        <f>HYPERLINK("https://www.suredividend.com/sure-analysis-research-database/","CinCor Pharma Inc")</f>
        <v>0</v>
      </c>
      <c r="C302">
        <v>0.143771043771043</v>
      </c>
      <c r="D302">
        <v>0.6816831683168311</v>
      </c>
      <c r="E302">
        <v>0.737595907928388</v>
      </c>
      <c r="F302">
        <v>1.123125</v>
      </c>
      <c r="G302">
        <v>1.123125</v>
      </c>
      <c r="H302">
        <v>1.123125</v>
      </c>
      <c r="I302">
        <v>1.123125</v>
      </c>
    </row>
    <row r="303" spans="1:9">
      <c r="A303" s="1" t="s">
        <v>315</v>
      </c>
      <c r="B303">
        <f>HYPERLINK("https://www.suredividend.com/sure-analysis-CIO/","City Office REIT Inc")</f>
        <v>0</v>
      </c>
      <c r="C303">
        <v>-0.18792992592723</v>
      </c>
      <c r="D303">
        <v>-0.262394099152793</v>
      </c>
      <c r="E303">
        <v>-0.419143078541683</v>
      </c>
      <c r="F303">
        <v>-0.504671240309661</v>
      </c>
      <c r="G303">
        <v>-0.463597966093806</v>
      </c>
      <c r="H303">
        <v>0.36271597274568</v>
      </c>
      <c r="I303">
        <v>-0.04864106321068101</v>
      </c>
    </row>
    <row r="304" spans="1:9">
      <c r="A304" s="1" t="s">
        <v>316</v>
      </c>
      <c r="B304">
        <f>HYPERLINK("https://www.suredividend.com/sure-analysis-research-database/","Circor International Inc")</f>
        <v>0</v>
      </c>
      <c r="C304">
        <v>0.002289639381797</v>
      </c>
      <c r="D304">
        <v>0.130406714009038</v>
      </c>
      <c r="E304">
        <v>-0.272236076475477</v>
      </c>
      <c r="F304">
        <v>-0.3557763061074311</v>
      </c>
      <c r="G304">
        <v>-0.4782479141835511</v>
      </c>
      <c r="H304">
        <v>-0.409244264507422</v>
      </c>
      <c r="I304">
        <v>-0.6812619913571211</v>
      </c>
    </row>
    <row r="305" spans="1:9">
      <c r="A305" s="1" t="s">
        <v>317</v>
      </c>
      <c r="B305">
        <f>HYPERLINK("https://www.suredividend.com/sure-analysis-research-database/","Civista Bancshares Inc")</f>
        <v>0</v>
      </c>
      <c r="C305">
        <v>-0.03894297635605001</v>
      </c>
      <c r="D305">
        <v>-0.022759843113591</v>
      </c>
      <c r="E305">
        <v>-0.09346534133894201</v>
      </c>
      <c r="F305">
        <v>-0.134211790256228</v>
      </c>
      <c r="G305">
        <v>-0.150287951140532</v>
      </c>
      <c r="H305">
        <v>0.5449166058040571</v>
      </c>
      <c r="I305">
        <v>-0.010463406717201</v>
      </c>
    </row>
    <row r="306" spans="1:9">
      <c r="A306" s="1" t="s">
        <v>318</v>
      </c>
      <c r="B306">
        <f>HYPERLINK("https://www.suredividend.com/sure-analysis-research-database/","Civitas Resources Inc")</f>
        <v>0</v>
      </c>
      <c r="C306">
        <v>-0.010069899116578</v>
      </c>
      <c r="D306">
        <v>0.281706872981475</v>
      </c>
      <c r="E306">
        <v>0.054418539169496</v>
      </c>
      <c r="F306">
        <v>0.3592134667856841</v>
      </c>
      <c r="G306">
        <v>0.271668311944718</v>
      </c>
      <c r="H306">
        <v>2.189182230496524</v>
      </c>
      <c r="I306">
        <v>0.9314096201651031</v>
      </c>
    </row>
    <row r="307" spans="1:9">
      <c r="A307" s="1" t="s">
        <v>319</v>
      </c>
      <c r="B307">
        <f>HYPERLINK("https://www.suredividend.com/sure-analysis-research-database/","Compx International, Inc.")</f>
        <v>0</v>
      </c>
      <c r="C307">
        <v>-0.157721280602636</v>
      </c>
      <c r="D307">
        <v>-0.142139233343882</v>
      </c>
      <c r="E307">
        <v>-0.159762535459993</v>
      </c>
      <c r="F307">
        <v>-0.120625245772709</v>
      </c>
      <c r="G307">
        <v>-0.09329576094228301</v>
      </c>
      <c r="H307">
        <v>0.4759021235170851</v>
      </c>
      <c r="I307">
        <v>0.477694169344247</v>
      </c>
    </row>
    <row r="308" spans="1:9">
      <c r="A308" s="1" t="s">
        <v>320</v>
      </c>
      <c r="B308">
        <f>HYPERLINK("https://www.suredividend.com/sure-analysis-research-database/","Clarus Corp")</f>
        <v>0</v>
      </c>
      <c r="C308">
        <v>-0.224053724053723</v>
      </c>
      <c r="D308">
        <v>-0.4028322010167351</v>
      </c>
      <c r="E308">
        <v>-0.4024447578749411</v>
      </c>
      <c r="F308">
        <v>-0.5399061712663981</v>
      </c>
      <c r="G308">
        <v>-0.530707114716448</v>
      </c>
      <c r="H308">
        <v>-0.158122035874201</v>
      </c>
      <c r="I308">
        <v>0.7207299902523551</v>
      </c>
    </row>
    <row r="309" spans="1:9">
      <c r="A309" s="1" t="s">
        <v>321</v>
      </c>
      <c r="B309">
        <f>HYPERLINK("https://www.suredividend.com/sure-analysis-research-database/","Columbia Financial, Inc")</f>
        <v>0</v>
      </c>
      <c r="C309">
        <v>0.004187994416007</v>
      </c>
      <c r="D309">
        <v>-0.014611872146118</v>
      </c>
      <c r="E309">
        <v>0.007469654528477001</v>
      </c>
      <c r="F309">
        <v>0.034515819750718</v>
      </c>
      <c r="G309">
        <v>0.146652497343251</v>
      </c>
      <c r="H309">
        <v>0.7530463038180341</v>
      </c>
      <c r="I309">
        <v>0.399481193255512</v>
      </c>
    </row>
    <row r="310" spans="1:9">
      <c r="A310" s="1" t="s">
        <v>322</v>
      </c>
      <c r="B310">
        <f>HYPERLINK("https://www.suredividend.com/sure-analysis-research-database/","Chatham Lodging Trust")</f>
        <v>0</v>
      </c>
      <c r="C310">
        <v>-0.169572107765451</v>
      </c>
      <c r="D310">
        <v>-0.034101382488479</v>
      </c>
      <c r="E310">
        <v>-0.181889149102263</v>
      </c>
      <c r="F310">
        <v>-0.236151603498542</v>
      </c>
      <c r="G310">
        <v>-0.15210355987055</v>
      </c>
      <c r="H310">
        <v>0.378947368421052</v>
      </c>
      <c r="I310">
        <v>-0.425199096114609</v>
      </c>
    </row>
    <row r="311" spans="1:9">
      <c r="A311" s="1" t="s">
        <v>323</v>
      </c>
      <c r="B311">
        <f>HYPERLINK("https://www.suredividend.com/sure-analysis-research-database/","Celldex Therapeutics Inc.")</f>
        <v>0</v>
      </c>
      <c r="C311">
        <v>-0.113996200126662</v>
      </c>
      <c r="D311">
        <v>0.046763935652824</v>
      </c>
      <c r="E311">
        <v>-0.250468791856415</v>
      </c>
      <c r="F311">
        <v>-0.275879917184264</v>
      </c>
      <c r="G311">
        <v>-0.483382570162481</v>
      </c>
      <c r="H311">
        <v>0.633391710449503</v>
      </c>
      <c r="I311">
        <v>-0.404046858359957</v>
      </c>
    </row>
    <row r="312" spans="1:9">
      <c r="A312" s="1" t="s">
        <v>324</v>
      </c>
      <c r="B312">
        <f>HYPERLINK("https://www.suredividend.com/sure-analysis-research-database/","Clearfield Inc")</f>
        <v>0</v>
      </c>
      <c r="C312">
        <v>-0.07465599687713401</v>
      </c>
      <c r="D312">
        <v>0.310392482034272</v>
      </c>
      <c r="E312">
        <v>0.5716890435935681</v>
      </c>
      <c r="F312">
        <v>0.123193556029376</v>
      </c>
      <c r="G312">
        <v>0.8982982982982981</v>
      </c>
      <c r="H312">
        <v>3.064294899271324</v>
      </c>
      <c r="I312">
        <v>5.846209386281588</v>
      </c>
    </row>
    <row r="313" spans="1:9">
      <c r="A313" s="1" t="s">
        <v>325</v>
      </c>
      <c r="B313">
        <f>HYPERLINK("https://www.suredividend.com/sure-analysis-research-database/","Clean Energy Fuels Corp")</f>
        <v>0</v>
      </c>
      <c r="C313">
        <v>-0.241935483870967</v>
      </c>
      <c r="D313">
        <v>0.013725490196078</v>
      </c>
      <c r="E313">
        <v>-0.307898259705488</v>
      </c>
      <c r="F313">
        <v>-0.156606851549755</v>
      </c>
      <c r="G313">
        <v>-0.403690888119953</v>
      </c>
      <c r="H313">
        <v>0.9436090225563901</v>
      </c>
      <c r="I313">
        <v>1.145228215767634</v>
      </c>
    </row>
    <row r="314" spans="1:9">
      <c r="A314" s="1" t="s">
        <v>326</v>
      </c>
      <c r="B314">
        <f>HYPERLINK("https://www.suredividend.com/sure-analysis-research-database/","Clene Inc")</f>
        <v>0</v>
      </c>
      <c r="C314">
        <v>-0.443661971830985</v>
      </c>
      <c r="D314">
        <v>-0.4357142857142851</v>
      </c>
      <c r="E314">
        <v>-0.5047021943573661</v>
      </c>
      <c r="F314">
        <v>-0.6146341463414631</v>
      </c>
      <c r="G314">
        <v>-0.7696793002915451</v>
      </c>
      <c r="H314">
        <v>-0.824639289678135</v>
      </c>
      <c r="I314">
        <v>-0.824639289678135</v>
      </c>
    </row>
    <row r="315" spans="1:9">
      <c r="A315" s="1" t="s">
        <v>327</v>
      </c>
      <c r="B315">
        <f>HYPERLINK("https://www.suredividend.com/sure-analysis-CLPR/","Clipper Realty Inc")</f>
        <v>0</v>
      </c>
      <c r="C315">
        <v>-0.224970553592461</v>
      </c>
      <c r="D315">
        <v>-0.18800518294564</v>
      </c>
      <c r="E315">
        <v>-0.265403637256762</v>
      </c>
      <c r="F315">
        <v>-0.316874649612757</v>
      </c>
      <c r="G315">
        <v>-0.175273237741903</v>
      </c>
      <c r="H315">
        <v>0.09642910702681001</v>
      </c>
      <c r="I315">
        <v>-0.294211028757146</v>
      </c>
    </row>
    <row r="316" spans="1:9">
      <c r="A316" s="1" t="s">
        <v>328</v>
      </c>
      <c r="B316">
        <f>HYPERLINK("https://www.suredividend.com/sure-analysis-research-database/","ClearPoint Neuro Inc")</f>
        <v>0</v>
      </c>
      <c r="C316">
        <v>-0.241057542768273</v>
      </c>
      <c r="D316">
        <v>-0.314606741573033</v>
      </c>
      <c r="E316">
        <v>-0.111111111111111</v>
      </c>
      <c r="F316">
        <v>-0.1301247771836</v>
      </c>
      <c r="G316">
        <v>-0.427565982404692</v>
      </c>
      <c r="H316">
        <v>0.807407407407407</v>
      </c>
      <c r="I316">
        <v>7.486956521739131</v>
      </c>
    </row>
    <row r="317" spans="1:9">
      <c r="A317" s="1" t="s">
        <v>329</v>
      </c>
      <c r="B317">
        <f>HYPERLINK("https://www.suredividend.com/sure-analysis-research-database/","Cleanspark Inc")</f>
        <v>0</v>
      </c>
      <c r="C317">
        <v>-0.395010395010394</v>
      </c>
      <c r="D317">
        <v>-0.364628820960698</v>
      </c>
      <c r="E317">
        <v>-0.7204610951008641</v>
      </c>
      <c r="F317">
        <v>-0.6943277310924371</v>
      </c>
      <c r="G317">
        <v>-0.796787709497206</v>
      </c>
      <c r="H317">
        <v>-0.7300556586270871</v>
      </c>
      <c r="I317">
        <v>-0.429411764705882</v>
      </c>
    </row>
    <row r="318" spans="1:9">
      <c r="A318" s="1" t="s">
        <v>330</v>
      </c>
      <c r="B318">
        <f>HYPERLINK("https://www.suredividend.com/sure-analysis-research-database/","Clovis Oncology Inc")</f>
        <v>0</v>
      </c>
      <c r="C318">
        <v>-0.07826086956521701</v>
      </c>
      <c r="D318">
        <v>-0.617328519855595</v>
      </c>
      <c r="E318">
        <v>-0.59073359073359</v>
      </c>
      <c r="F318">
        <v>-0.608856088560885</v>
      </c>
      <c r="G318">
        <v>-0.756880733944954</v>
      </c>
      <c r="H318">
        <v>-0.8133802816901401</v>
      </c>
      <c r="I318">
        <v>-0.987201159140304</v>
      </c>
    </row>
    <row r="319" spans="1:9">
      <c r="A319" s="1" t="s">
        <v>331</v>
      </c>
      <c r="B319">
        <f>HYPERLINK("https://www.suredividend.com/sure-analysis-research-database/","Clearwater Paper Corp")</f>
        <v>0</v>
      </c>
      <c r="C319">
        <v>-0.08226950354609901</v>
      </c>
      <c r="D319">
        <v>0.156734207389749</v>
      </c>
      <c r="E319">
        <v>0.505818463925523</v>
      </c>
      <c r="F319">
        <v>0.058631033542405</v>
      </c>
      <c r="G319">
        <v>0.003360041354355</v>
      </c>
      <c r="H319">
        <v>-0.041007905138339</v>
      </c>
      <c r="I319">
        <v>-0.137333333333333</v>
      </c>
    </row>
    <row r="320" spans="1:9">
      <c r="A320" s="1" t="s">
        <v>332</v>
      </c>
      <c r="B320">
        <f>HYPERLINK("https://www.suredividend.com/sure-analysis-research-database/","Cambium Networks Corp")</f>
        <v>0</v>
      </c>
      <c r="C320">
        <v>-0.07289416846652201</v>
      </c>
      <c r="D320">
        <v>0.079195474544311</v>
      </c>
      <c r="E320">
        <v>-0.167716917111003</v>
      </c>
      <c r="F320">
        <v>-0.330081935232149</v>
      </c>
      <c r="G320">
        <v>-0.5056147422977251</v>
      </c>
      <c r="H320">
        <v>-0.001163467132053</v>
      </c>
      <c r="I320">
        <v>0.7701030927835051</v>
      </c>
    </row>
    <row r="321" spans="1:9">
      <c r="A321" s="1" t="s">
        <v>333</v>
      </c>
      <c r="B321">
        <f>HYPERLINK("https://www.suredividend.com/sure-analysis-research-database/","Commercial Metals Co.")</f>
        <v>0</v>
      </c>
      <c r="C321">
        <v>-0.043874370654519</v>
      </c>
      <c r="D321">
        <v>0.173286260664901</v>
      </c>
      <c r="E321">
        <v>-0.05688042151864001</v>
      </c>
      <c r="F321">
        <v>0.111073963870593</v>
      </c>
      <c r="G321">
        <v>0.271371506358451</v>
      </c>
      <c r="H321">
        <v>0.8233107629284531</v>
      </c>
      <c r="I321">
        <v>1.36581083005078</v>
      </c>
    </row>
    <row r="322" spans="1:9">
      <c r="A322" s="1" t="s">
        <v>334</v>
      </c>
      <c r="B322">
        <f>HYPERLINK("https://www.suredividend.com/sure-analysis-research-database/","Columbus Mckinnon Corp.")</f>
        <v>0</v>
      </c>
      <c r="C322">
        <v>-0.201672563525249</v>
      </c>
      <c r="D322">
        <v>-0.125403470196061</v>
      </c>
      <c r="E322">
        <v>-0.337932064680996</v>
      </c>
      <c r="F322">
        <v>-0.460590742241917</v>
      </c>
      <c r="G322">
        <v>-0.506945865357682</v>
      </c>
      <c r="H322">
        <v>-0.315421765836732</v>
      </c>
      <c r="I322">
        <v>-0.326575574391421</v>
      </c>
    </row>
    <row r="323" spans="1:9">
      <c r="A323" s="1" t="s">
        <v>335</v>
      </c>
      <c r="B323">
        <f>HYPERLINK("https://www.suredividend.com/sure-analysis-CMP/","Compass Minerals International Inc")</f>
        <v>0</v>
      </c>
      <c r="C323">
        <v>-0.009740259740259001</v>
      </c>
      <c r="D323">
        <v>0.232940181411677</v>
      </c>
      <c r="E323">
        <v>-0.34994245392215</v>
      </c>
      <c r="F323">
        <v>-0.216138260163019</v>
      </c>
      <c r="G323">
        <v>-0.403085288799832</v>
      </c>
      <c r="H323">
        <v>-0.343019855215825</v>
      </c>
      <c r="I323">
        <v>-0.269676373616253</v>
      </c>
    </row>
    <row r="324" spans="1:9">
      <c r="A324" s="1" t="s">
        <v>336</v>
      </c>
      <c r="B324">
        <f>HYPERLINK("https://www.suredividend.com/sure-analysis-research-database/","Cimpress plc")</f>
        <v>0</v>
      </c>
      <c r="C324">
        <v>-0.193506910961105</v>
      </c>
      <c r="D324">
        <v>-0.236457699330493</v>
      </c>
      <c r="E324">
        <v>-0.5925625202987981</v>
      </c>
      <c r="F324">
        <v>-0.6496299399525201</v>
      </c>
      <c r="G324">
        <v>-0.7028307473646801</v>
      </c>
      <c r="H324">
        <v>-0.707302846476901</v>
      </c>
      <c r="I324">
        <v>-0.7510418733875761</v>
      </c>
    </row>
    <row r="325" spans="1:9">
      <c r="A325" s="1" t="s">
        <v>337</v>
      </c>
      <c r="B325">
        <f>HYPERLINK("https://www.suredividend.com/sure-analysis-research-database/","Costamare Inc")</f>
        <v>0</v>
      </c>
      <c r="C325">
        <v>-0.205776173285198</v>
      </c>
      <c r="D325">
        <v>-0.183180953264955</v>
      </c>
      <c r="E325">
        <v>-0.4095188249424611</v>
      </c>
      <c r="F325">
        <v>-0.286131481601661</v>
      </c>
      <c r="G325">
        <v>-0.387020151712512</v>
      </c>
      <c r="H325">
        <v>0.453440359396161</v>
      </c>
      <c r="I325">
        <v>0.8670174396401741</v>
      </c>
    </row>
    <row r="326" spans="1:9">
      <c r="A326" s="1" t="s">
        <v>338</v>
      </c>
      <c r="B326">
        <f>HYPERLINK("https://www.suredividend.com/sure-analysis-research-database/","Chimerix Inc")</f>
        <v>0</v>
      </c>
      <c r="C326">
        <v>-0.244725738396624</v>
      </c>
      <c r="D326">
        <v>-0.193693693693693</v>
      </c>
      <c r="E326">
        <v>-0.6301652892561981</v>
      </c>
      <c r="F326">
        <v>-0.7216174183514771</v>
      </c>
      <c r="G326">
        <v>-0.6797853309481211</v>
      </c>
      <c r="H326">
        <v>-0.409240924092409</v>
      </c>
      <c r="I326">
        <v>-0.6666666666666661</v>
      </c>
    </row>
    <row r="327" spans="1:9">
      <c r="A327" s="1" t="s">
        <v>339</v>
      </c>
      <c r="B327">
        <f>HYPERLINK("https://www.suredividend.com/sure-analysis-research-database/","Comtech Telecommunications Corp.")</f>
        <v>0</v>
      </c>
      <c r="C327">
        <v>-0.184577522559475</v>
      </c>
      <c r="D327">
        <v>0.063272182703107</v>
      </c>
      <c r="E327">
        <v>-0.310387889467805</v>
      </c>
      <c r="F327">
        <v>-0.572958017562853</v>
      </c>
      <c r="G327">
        <v>-0.554128127607273</v>
      </c>
      <c r="H327">
        <v>-0.3724351284803331</v>
      </c>
      <c r="I327">
        <v>-0.5246089023439551</v>
      </c>
    </row>
    <row r="328" spans="1:9">
      <c r="A328" s="1" t="s">
        <v>340</v>
      </c>
      <c r="B328">
        <f>HYPERLINK("https://www.suredividend.com/sure-analysis-research-database/","Conduent Inc")</f>
        <v>0</v>
      </c>
      <c r="C328">
        <v>-0.166666666666666</v>
      </c>
      <c r="D328">
        <v>-0.207459207459207</v>
      </c>
      <c r="E328">
        <v>-0.410745233968804</v>
      </c>
      <c r="F328">
        <v>-0.363295880149812</v>
      </c>
      <c r="G328">
        <v>-0.499263622974963</v>
      </c>
      <c r="H328">
        <v>-0.055555555555555</v>
      </c>
      <c r="I328">
        <v>-0.7878976918278221</v>
      </c>
    </row>
    <row r="329" spans="1:9">
      <c r="A329" s="1" t="s">
        <v>341</v>
      </c>
      <c r="B329">
        <f>HYPERLINK("https://www.suredividend.com/sure-analysis-research-database/","Cinemark Holdings Inc")</f>
        <v>0</v>
      </c>
      <c r="C329">
        <v>-0.205401563610518</v>
      </c>
      <c r="D329">
        <v>-0.283333333333333</v>
      </c>
      <c r="E329">
        <v>-0.29015873015873</v>
      </c>
      <c r="F329">
        <v>-0.306451612903225</v>
      </c>
      <c r="G329">
        <v>-0.47164461247637</v>
      </c>
      <c r="H329">
        <v>0.326215895610913</v>
      </c>
      <c r="I329">
        <v>-0.6589779098213141</v>
      </c>
    </row>
    <row r="330" spans="1:9">
      <c r="A330" s="1" t="s">
        <v>342</v>
      </c>
      <c r="B330">
        <f>HYPERLINK("https://www.suredividend.com/sure-analysis-research-database/","Conmed Corp.")</f>
        <v>0</v>
      </c>
      <c r="C330">
        <v>-0.220265330640832</v>
      </c>
      <c r="D330">
        <v>-0.198932750688039</v>
      </c>
      <c r="E330">
        <v>-0.473057599516865</v>
      </c>
      <c r="F330">
        <v>-0.459003903174042</v>
      </c>
      <c r="G330">
        <v>-0.444415302839557</v>
      </c>
      <c r="H330">
        <v>-0.100467813355917</v>
      </c>
      <c r="I330">
        <v>0.5256363319909491</v>
      </c>
    </row>
    <row r="331" spans="1:9">
      <c r="A331" s="1" t="s">
        <v>343</v>
      </c>
      <c r="B331">
        <f>HYPERLINK("https://www.suredividend.com/sure-analysis-research-database/","Cannae Holdings Inc")</f>
        <v>0</v>
      </c>
      <c r="C331">
        <v>-0.104566794707639</v>
      </c>
      <c r="D331">
        <v>0.000476871721506</v>
      </c>
      <c r="E331">
        <v>-0.132340777502067</v>
      </c>
      <c r="F331">
        <v>-0.403129445234708</v>
      </c>
      <c r="G331">
        <v>-0.32540192926045</v>
      </c>
      <c r="H331">
        <v>-0.481078407123423</v>
      </c>
      <c r="I331">
        <v>0.140837411636759</v>
      </c>
    </row>
    <row r="332" spans="1:9">
      <c r="A332" s="1" t="s">
        <v>344</v>
      </c>
      <c r="B332">
        <f>HYPERLINK("https://www.suredividend.com/sure-analysis-research-database/","CNO Financial Group Inc")</f>
        <v>0</v>
      </c>
      <c r="C332">
        <v>-0.009973753280839001</v>
      </c>
      <c r="D332">
        <v>0.07381786090471701</v>
      </c>
      <c r="E332">
        <v>-0.226069079284832</v>
      </c>
      <c r="F332">
        <v>-0.192595510043324</v>
      </c>
      <c r="G332">
        <v>-0.254182863605626</v>
      </c>
      <c r="H332">
        <v>0.08669974013701801</v>
      </c>
      <c r="I332">
        <v>-0.130218229445295</v>
      </c>
    </row>
    <row r="333" spans="1:9">
      <c r="A333" s="1" t="s">
        <v>345</v>
      </c>
      <c r="B333">
        <f>HYPERLINK("https://www.suredividend.com/sure-analysis-research-database/","ConnectOne Bancorp Inc.")</f>
        <v>0</v>
      </c>
      <c r="C333">
        <v>-0.09671026555687601</v>
      </c>
      <c r="D333">
        <v>-0.078864404313452</v>
      </c>
      <c r="E333">
        <v>-0.255038866116199</v>
      </c>
      <c r="F333">
        <v>-0.292528241440647</v>
      </c>
      <c r="G333">
        <v>-0.284860313983663</v>
      </c>
      <c r="H333">
        <v>0.484884023977065</v>
      </c>
      <c r="I333">
        <v>-0.025268596455211</v>
      </c>
    </row>
    <row r="334" spans="1:9">
      <c r="A334" s="1" t="s">
        <v>346</v>
      </c>
      <c r="B334">
        <f>HYPERLINK("https://www.suredividend.com/sure-analysis-research-database/","Cornerstone Building Brands Inc")</f>
        <v>0</v>
      </c>
      <c r="C334">
        <v>0.008588957055214001</v>
      </c>
      <c r="D334">
        <v>0.011070110701107</v>
      </c>
      <c r="E334">
        <v>0.6234364713627381</v>
      </c>
      <c r="F334">
        <v>0.413990825688073</v>
      </c>
      <c r="G334">
        <v>0.482862297053517</v>
      </c>
      <c r="H334">
        <v>3.172588832487309</v>
      </c>
      <c r="I334">
        <v>0.405128205128205</v>
      </c>
    </row>
    <row r="335" spans="1:9">
      <c r="A335" s="1" t="s">
        <v>347</v>
      </c>
      <c r="B335">
        <f>HYPERLINK("https://www.suredividend.com/sure-analysis-research-database/","Cohen &amp; Steers Inc.")</f>
        <v>0</v>
      </c>
      <c r="C335">
        <v>-0.194641661085063</v>
      </c>
      <c r="D335">
        <v>-0.084223417802501</v>
      </c>
      <c r="E335">
        <v>-0.290256013108777</v>
      </c>
      <c r="F335">
        <v>-0.335775012015047</v>
      </c>
      <c r="G335">
        <v>-0.285256574105887</v>
      </c>
      <c r="H335">
        <v>0.06875629974241</v>
      </c>
      <c r="I335">
        <v>0.7909914204003811</v>
      </c>
    </row>
    <row r="336" spans="1:9">
      <c r="A336" s="1" t="s">
        <v>348</v>
      </c>
      <c r="B336">
        <f>HYPERLINK("https://www.suredividend.com/sure-analysis-research-database/","Consolidated Communications Holdings Inc")</f>
        <v>0</v>
      </c>
      <c r="C336">
        <v>-0.254668930390492</v>
      </c>
      <c r="D336">
        <v>-0.362844702467344</v>
      </c>
      <c r="E336">
        <v>-0.280327868852459</v>
      </c>
      <c r="F336">
        <v>-0.413101604278074</v>
      </c>
      <c r="G336">
        <v>-0.531483457844183</v>
      </c>
      <c r="H336">
        <v>-0.253401360544217</v>
      </c>
      <c r="I336">
        <v>-0.731746216032899</v>
      </c>
    </row>
    <row r="337" spans="1:9">
      <c r="A337" s="1" t="s">
        <v>349</v>
      </c>
      <c r="B337">
        <f>HYPERLINK("https://www.suredividend.com/sure-analysis-research-database/","Century Casinos Inc.")</f>
        <v>0</v>
      </c>
      <c r="C337">
        <v>-0.176774193548387</v>
      </c>
      <c r="D337">
        <v>-0.11878453038674</v>
      </c>
      <c r="E337">
        <v>-0.426774483378256</v>
      </c>
      <c r="F337">
        <v>-0.4761904761904761</v>
      </c>
      <c r="G337">
        <v>-0.557251908396946</v>
      </c>
      <c r="H337">
        <v>0.185873605947955</v>
      </c>
      <c r="I337">
        <v>-0.228536880290205</v>
      </c>
    </row>
    <row r="338" spans="1:9">
      <c r="A338" s="1" t="s">
        <v>350</v>
      </c>
      <c r="B338">
        <f>HYPERLINK("https://www.suredividend.com/sure-analysis-research-database/","Convey Health Solutions Holdings Inc")</f>
        <v>0</v>
      </c>
      <c r="C338">
        <v>0.0009523809523810001</v>
      </c>
      <c r="D338">
        <v>0.007670182166826</v>
      </c>
      <c r="E338">
        <v>0.616923076923076</v>
      </c>
      <c r="F338">
        <v>0.257177033492822</v>
      </c>
      <c r="G338">
        <v>0.31704260651629</v>
      </c>
      <c r="H338">
        <v>-0.191538461538461</v>
      </c>
      <c r="I338">
        <v>-0.191538461538461</v>
      </c>
    </row>
    <row r="339" spans="1:9">
      <c r="A339" s="1" t="s">
        <v>351</v>
      </c>
      <c r="B339">
        <f>HYPERLINK("https://www.suredividend.com/sure-analysis-research-database/","CNX Resources Corp")</f>
        <v>0</v>
      </c>
      <c r="C339">
        <v>-0.005820721769499</v>
      </c>
      <c r="D339">
        <v>0.05497220506485401</v>
      </c>
      <c r="E339">
        <v>-0.186666666666666</v>
      </c>
      <c r="F339">
        <v>0.242181818181818</v>
      </c>
      <c r="G339">
        <v>0.261447562776957</v>
      </c>
      <c r="H339">
        <v>0.6067732831608651</v>
      </c>
      <c r="I339">
        <v>0.254756762316157</v>
      </c>
    </row>
    <row r="340" spans="1:9">
      <c r="A340" s="1" t="s">
        <v>352</v>
      </c>
      <c r="B340">
        <f>HYPERLINK("https://www.suredividend.com/sure-analysis-research-database/","PC Connection, Inc.")</f>
        <v>0</v>
      </c>
      <c r="C340">
        <v>-0.05528996050717001</v>
      </c>
      <c r="D340">
        <v>0.037197626654495</v>
      </c>
      <c r="E340">
        <v>-0.129310344827586</v>
      </c>
      <c r="F340">
        <v>0.05379086482726601</v>
      </c>
      <c r="G340">
        <v>0.03443096055278901</v>
      </c>
      <c r="H340">
        <v>0.065463283127234</v>
      </c>
      <c r="I340">
        <v>0.6984368401974591</v>
      </c>
    </row>
    <row r="341" spans="1:9">
      <c r="A341" s="1" t="s">
        <v>353</v>
      </c>
      <c r="B341">
        <f>HYPERLINK("https://www.suredividend.com/sure-analysis-research-database/","Vita Coco Company Inc (The)")</f>
        <v>0</v>
      </c>
      <c r="C341">
        <v>-0.233881163084702</v>
      </c>
      <c r="D341">
        <v>0.09882139619220301</v>
      </c>
      <c r="E341">
        <v>0.315960912052116</v>
      </c>
      <c r="F341">
        <v>0.085049239033124</v>
      </c>
      <c r="G341">
        <v>-0.103550295857988</v>
      </c>
      <c r="H341">
        <v>-0.103550295857988</v>
      </c>
      <c r="I341">
        <v>-0.103550295857988</v>
      </c>
    </row>
    <row r="342" spans="1:9">
      <c r="A342" s="1" t="s">
        <v>354</v>
      </c>
      <c r="B342">
        <f>HYPERLINK("https://www.suredividend.com/sure-analysis-research-database/","Cogent Biosciences Inc")</f>
        <v>0</v>
      </c>
      <c r="C342">
        <v>-0.197802197802197</v>
      </c>
      <c r="D342">
        <v>0.181654676258993</v>
      </c>
      <c r="E342">
        <v>0.491486946651532</v>
      </c>
      <c r="F342">
        <v>0.531468531468531</v>
      </c>
      <c r="G342">
        <v>0.728947368421052</v>
      </c>
      <c r="H342">
        <v>0.324596774193548</v>
      </c>
      <c r="I342">
        <v>0.182718271827182</v>
      </c>
    </row>
    <row r="343" spans="1:9">
      <c r="A343" s="1" t="s">
        <v>355</v>
      </c>
      <c r="B343">
        <f>HYPERLINK("https://www.suredividend.com/sure-analysis-research-database/","Cohu, Inc.")</f>
        <v>0</v>
      </c>
      <c r="C343">
        <v>-0.020523708421797</v>
      </c>
      <c r="D343">
        <v>0.049279757391963</v>
      </c>
      <c r="E343">
        <v>0.038649155722326</v>
      </c>
      <c r="F343">
        <v>-0.273300078760829</v>
      </c>
      <c r="G343">
        <v>-0.09601567602873901</v>
      </c>
      <c r="H343">
        <v>0.405789740985271</v>
      </c>
      <c r="I343">
        <v>0.195241488006563</v>
      </c>
    </row>
    <row r="344" spans="1:9">
      <c r="A344" s="1" t="s">
        <v>356</v>
      </c>
      <c r="B344">
        <f>HYPERLINK("https://www.suredividend.com/sure-analysis-research-database/","Coca-Cola Consolidated Inc")</f>
        <v>0</v>
      </c>
      <c r="C344">
        <v>-0.024486331185791</v>
      </c>
      <c r="D344">
        <v>-0.231817782152579</v>
      </c>
      <c r="E344">
        <v>-0.08090323676108101</v>
      </c>
      <c r="F344">
        <v>-0.275117840456378</v>
      </c>
      <c r="G344">
        <v>0.108943100695863</v>
      </c>
      <c r="H344">
        <v>0.85995110568302</v>
      </c>
      <c r="I344">
        <v>1.046348405666347</v>
      </c>
    </row>
    <row r="345" spans="1:9">
      <c r="A345" s="1" t="s">
        <v>357</v>
      </c>
      <c r="B345">
        <f>HYPERLINK("https://www.suredividend.com/sure-analysis-research-database/","Columbia Banking System, Inc.")</f>
        <v>0</v>
      </c>
      <c r="C345">
        <v>-0.050940947436729</v>
      </c>
      <c r="D345">
        <v>0.000424111418173</v>
      </c>
      <c r="E345">
        <v>-0.010888678479642</v>
      </c>
      <c r="F345">
        <v>-0.07973143889102101</v>
      </c>
      <c r="G345">
        <v>-0.248421685539633</v>
      </c>
      <c r="H345">
        <v>0.199380012793386</v>
      </c>
      <c r="I345">
        <v>-0.194900208913074</v>
      </c>
    </row>
    <row r="346" spans="1:9">
      <c r="A346" s="1" t="s">
        <v>358</v>
      </c>
      <c r="B346">
        <f>HYPERLINK("https://www.suredividend.com/sure-analysis-research-database/","Collegium Pharmaceutical Inc")</f>
        <v>0</v>
      </c>
      <c r="C346">
        <v>-0.034602076124567</v>
      </c>
      <c r="D346">
        <v>-0.08624454148471601</v>
      </c>
      <c r="E346">
        <v>-0.18381277425646</v>
      </c>
      <c r="F346">
        <v>-0.103854389721627</v>
      </c>
      <c r="G346">
        <v>-0.174963035978314</v>
      </c>
      <c r="H346">
        <v>-0.248990578734858</v>
      </c>
      <c r="I346">
        <v>0.435677530017152</v>
      </c>
    </row>
    <row r="347" spans="1:9">
      <c r="A347" s="1" t="s">
        <v>359</v>
      </c>
      <c r="B347">
        <f>HYPERLINK("https://www.suredividend.com/sure-analysis-research-database/","Conns Inc")</f>
        <v>0</v>
      </c>
      <c r="C347">
        <v>-0.146651270207852</v>
      </c>
      <c r="D347">
        <v>-0.18070953436807</v>
      </c>
      <c r="E347">
        <v>-0.5534743202416911</v>
      </c>
      <c r="F347">
        <v>-0.6857993197278911</v>
      </c>
      <c r="G347">
        <v>-0.6680143755615451</v>
      </c>
      <c r="H347">
        <v>-0.407377706495589</v>
      </c>
      <c r="I347">
        <v>-0.720604914933837</v>
      </c>
    </row>
    <row r="348" spans="1:9">
      <c r="A348" s="1" t="s">
        <v>360</v>
      </c>
      <c r="B348">
        <f>HYPERLINK("https://www.suredividend.com/sure-analysis-research-database/","Traeger Inc")</f>
        <v>0</v>
      </c>
      <c r="C348">
        <v>-0.075301204819277</v>
      </c>
      <c r="D348">
        <v>-0.308558558558558</v>
      </c>
      <c r="E348">
        <v>-0.568213783403656</v>
      </c>
      <c r="F348">
        <v>-0.747532894736842</v>
      </c>
      <c r="G348">
        <v>-0.846653346653346</v>
      </c>
      <c r="H348">
        <v>-0.860454545454545</v>
      </c>
      <c r="I348">
        <v>-0.860454545454545</v>
      </c>
    </row>
    <row r="349" spans="1:9">
      <c r="A349" s="1" t="s">
        <v>361</v>
      </c>
      <c r="B349">
        <f>HYPERLINK("https://www.suredividend.com/sure-analysis-research-database/","Mr. Cooper Group Inc")</f>
        <v>0</v>
      </c>
      <c r="C349">
        <v>-0.025307797537619</v>
      </c>
      <c r="D349">
        <v>0.144578313253012</v>
      </c>
      <c r="E349">
        <v>0.057644730331519</v>
      </c>
      <c r="F349">
        <v>0.027397260273972</v>
      </c>
      <c r="G349">
        <v>0.036614936954413</v>
      </c>
      <c r="H349">
        <v>0.7665289256198341</v>
      </c>
      <c r="I349">
        <v>44.49324252420985</v>
      </c>
    </row>
    <row r="350" spans="1:9">
      <c r="A350" s="1" t="s">
        <v>362</v>
      </c>
      <c r="B350">
        <f>HYPERLINK("https://www.suredividend.com/sure-analysis-research-database/","Corcept Therapeutics Inc")</f>
        <v>0</v>
      </c>
      <c r="C350">
        <v>0.003078106964217</v>
      </c>
      <c r="D350">
        <v>-0.05680173661360301</v>
      </c>
      <c r="E350">
        <v>0.04867256637168101</v>
      </c>
      <c r="F350">
        <v>0.316666666666666</v>
      </c>
      <c r="G350">
        <v>0.281710914454277</v>
      </c>
      <c r="H350">
        <v>0.420708446866485</v>
      </c>
      <c r="I350">
        <v>0.394863563402889</v>
      </c>
    </row>
    <row r="351" spans="1:9">
      <c r="A351" s="1" t="s">
        <v>363</v>
      </c>
      <c r="B351">
        <f>HYPERLINK("https://www.suredividend.com/sure-analysis-research-database/","Coursera Inc")</f>
        <v>0</v>
      </c>
      <c r="C351">
        <v>-0.0912</v>
      </c>
      <c r="D351">
        <v>-0.289111389236545</v>
      </c>
      <c r="E351">
        <v>-0.464150943396226</v>
      </c>
      <c r="F351">
        <v>-0.535188216039279</v>
      </c>
      <c r="G351">
        <v>-0.640050697084917</v>
      </c>
      <c r="H351">
        <v>-0.7475555555555551</v>
      </c>
      <c r="I351">
        <v>-0.7475555555555551</v>
      </c>
    </row>
    <row r="352" spans="1:9">
      <c r="A352" s="1" t="s">
        <v>364</v>
      </c>
      <c r="B352">
        <f>HYPERLINK("https://www.suredividend.com/sure-analysis-research-database/","Cowen Inc")</f>
        <v>0</v>
      </c>
      <c r="C352">
        <v>0.001556824078879</v>
      </c>
      <c r="D352">
        <v>0.249045418656726</v>
      </c>
      <c r="E352">
        <v>0.679845767528494</v>
      </c>
      <c r="F352">
        <v>0.07684668046667001</v>
      </c>
      <c r="G352">
        <v>0.09679032551372901</v>
      </c>
      <c r="H352">
        <v>1.140520157489048</v>
      </c>
      <c r="I352">
        <v>1.350247811103398</v>
      </c>
    </row>
    <row r="353" spans="1:9">
      <c r="A353" s="1" t="s">
        <v>365</v>
      </c>
      <c r="B353">
        <f>HYPERLINK("https://www.suredividend.com/sure-analysis-research-database/","Callon Petroleum Co.")</f>
        <v>0</v>
      </c>
      <c r="C353">
        <v>0.022479886417416</v>
      </c>
      <c r="D353">
        <v>0.127609603340292</v>
      </c>
      <c r="E353">
        <v>-0.302614590058102</v>
      </c>
      <c r="F353">
        <v>-0.08550264550264501</v>
      </c>
      <c r="G353">
        <v>-0.254485852311939</v>
      </c>
      <c r="H353">
        <v>7.230476190476191</v>
      </c>
      <c r="I353">
        <v>-0.6172719220549151</v>
      </c>
    </row>
    <row r="354" spans="1:9">
      <c r="A354" s="1" t="s">
        <v>366</v>
      </c>
      <c r="B354">
        <f>HYPERLINK("https://www.suredividend.com/sure-analysis-research-database/","Central Pacific Financial Corp.")</f>
        <v>0</v>
      </c>
      <c r="C354">
        <v>-0.04896675651392601</v>
      </c>
      <c r="D354">
        <v>-0.025111327036697</v>
      </c>
      <c r="E354">
        <v>-0.1995220575724</v>
      </c>
      <c r="F354">
        <v>-0.224243756756261</v>
      </c>
      <c r="G354">
        <v>-0.162655296393128</v>
      </c>
      <c r="H354">
        <v>0.572703162492849</v>
      </c>
      <c r="I354">
        <v>-0.228248229199703</v>
      </c>
    </row>
    <row r="355" spans="1:9">
      <c r="A355" s="1" t="s">
        <v>367</v>
      </c>
      <c r="B355">
        <f>HYPERLINK("https://www.suredividend.com/sure-analysis-CPK/","Chesapeake Utilities Corp")</f>
        <v>0</v>
      </c>
      <c r="C355">
        <v>-0.102684868775918</v>
      </c>
      <c r="D355">
        <v>-0.08550071480315601</v>
      </c>
      <c r="E355">
        <v>-0.175969979081537</v>
      </c>
      <c r="F355">
        <v>-0.207907597548761</v>
      </c>
      <c r="G355">
        <v>-0.086230034302405</v>
      </c>
      <c r="H355">
        <v>0.325504817324947</v>
      </c>
      <c r="I355">
        <v>0.560434000834091</v>
      </c>
    </row>
    <row r="356" spans="1:9">
      <c r="A356" s="1" t="s">
        <v>368</v>
      </c>
      <c r="B356">
        <f>HYPERLINK("https://www.suredividend.com/sure-analysis-research-database/","Catalyst Pharmaceuticals Inc")</f>
        <v>0</v>
      </c>
      <c r="C356">
        <v>-0.167907921462423</v>
      </c>
      <c r="D356">
        <v>0.625661375661375</v>
      </c>
      <c r="E356">
        <v>0.522924411400247</v>
      </c>
      <c r="F356">
        <v>0.815361890694239</v>
      </c>
      <c r="G356">
        <v>0.9415481832543441</v>
      </c>
      <c r="H356">
        <v>2.735562310030395</v>
      </c>
      <c r="I356">
        <v>3.518382352941176</v>
      </c>
    </row>
    <row r="357" spans="1:9">
      <c r="A357" s="1" t="s">
        <v>369</v>
      </c>
      <c r="B357">
        <f>HYPERLINK("https://www.suredividend.com/sure-analysis-research-database/","Cooper-Standard Holdings Inc")</f>
        <v>0</v>
      </c>
      <c r="C357">
        <v>-0.225490196078431</v>
      </c>
      <c r="D357">
        <v>0.24901185770751</v>
      </c>
      <c r="E357">
        <v>-0.121001390820584</v>
      </c>
      <c r="F357">
        <v>-0.717983043284248</v>
      </c>
      <c r="G357">
        <v>-0.7287553648068671</v>
      </c>
      <c r="H357">
        <v>-0.6169696969696971</v>
      </c>
      <c r="I357">
        <v>-0.9447455848924631</v>
      </c>
    </row>
    <row r="358" spans="1:9">
      <c r="A358" s="1" t="s">
        <v>370</v>
      </c>
      <c r="B358">
        <f>HYPERLINK("https://www.suredividend.com/sure-analysis-research-database/","Computer Programs &amp; Systems Inc")</f>
        <v>0</v>
      </c>
      <c r="C358">
        <v>-0.067847593582887</v>
      </c>
      <c r="D358">
        <v>-0.149695121951219</v>
      </c>
      <c r="E358">
        <v>-0.155616106569785</v>
      </c>
      <c r="F358">
        <v>-0.048122866894197</v>
      </c>
      <c r="G358">
        <v>-0.226566833056017</v>
      </c>
      <c r="H358">
        <v>-0.012393767705382</v>
      </c>
      <c r="I358">
        <v>-0.026914247036083</v>
      </c>
    </row>
    <row r="359" spans="1:9">
      <c r="A359" s="1" t="s">
        <v>371</v>
      </c>
      <c r="B359">
        <f>HYPERLINK("https://www.suredividend.com/sure-analysis-research-database/","CRA International Inc.")</f>
        <v>0</v>
      </c>
      <c r="C359">
        <v>0.053906516547253</v>
      </c>
      <c r="D359">
        <v>0.038364701650828</v>
      </c>
      <c r="E359">
        <v>0.1237617338939</v>
      </c>
      <c r="F359">
        <v>0.003358604068003</v>
      </c>
      <c r="G359">
        <v>-0.123544560954179</v>
      </c>
      <c r="H359">
        <v>1.438517364601369</v>
      </c>
      <c r="I359">
        <v>1.345066680162967</v>
      </c>
    </row>
    <row r="360" spans="1:9">
      <c r="A360" s="1" t="s">
        <v>372</v>
      </c>
      <c r="B360">
        <f>HYPERLINK("https://www.suredividend.com/sure-analysis-research-database/","Caribou Biosciences Inc")</f>
        <v>0</v>
      </c>
      <c r="C360">
        <v>-0.178727114210985</v>
      </c>
      <c r="D360">
        <v>0.387334315169366</v>
      </c>
      <c r="E360">
        <v>0.140435835351089</v>
      </c>
      <c r="F360">
        <v>-0.375745526838966</v>
      </c>
      <c r="G360">
        <v>-0.508350730688935</v>
      </c>
      <c r="H360">
        <v>-0.422794117647058</v>
      </c>
      <c r="I360">
        <v>-0.422794117647058</v>
      </c>
    </row>
    <row r="361" spans="1:9">
      <c r="A361" s="1" t="s">
        <v>373</v>
      </c>
      <c r="B361">
        <f>HYPERLINK("https://www.suredividend.com/sure-analysis-research-database/","California Resources Corporation")</f>
        <v>0</v>
      </c>
      <c r="C361">
        <v>-0.08444541675782101</v>
      </c>
      <c r="D361">
        <v>0.06425181952730401</v>
      </c>
      <c r="E361">
        <v>-0.08146736959470401</v>
      </c>
      <c r="F361">
        <v>-0.012738853503184</v>
      </c>
      <c r="G361">
        <v>0.049719322360401</v>
      </c>
      <c r="H361">
        <v>1.823048487628504</v>
      </c>
      <c r="I361">
        <v>1.823048487628504</v>
      </c>
    </row>
    <row r="362" spans="1:9">
      <c r="A362" s="1" t="s">
        <v>374</v>
      </c>
      <c r="B362">
        <f>HYPERLINK("https://www.suredividend.com/sure-analysis-research-database/","Crawford &amp; Co.")</f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>
      <c r="A363" s="1" t="s">
        <v>375</v>
      </c>
      <c r="B363">
        <f>HYPERLINK("https://www.suredividend.com/sure-analysis-research-database/","Cardiff Oncology Inc")</f>
        <v>0</v>
      </c>
      <c r="C363">
        <v>-0.4793103448275861</v>
      </c>
      <c r="D363">
        <v>-0.522151898734177</v>
      </c>
      <c r="E363">
        <v>-0.346320346320346</v>
      </c>
      <c r="F363">
        <v>-0.7487520798668881</v>
      </c>
      <c r="G363">
        <v>-0.770167427701674</v>
      </c>
      <c r="H363">
        <v>-0.9124637681159421</v>
      </c>
      <c r="I363">
        <v>-0.9746651096614851</v>
      </c>
    </row>
    <row r="364" spans="1:9">
      <c r="A364" s="1" t="s">
        <v>376</v>
      </c>
      <c r="B364">
        <f>HYPERLINK("https://www.suredividend.com/sure-analysis-research-database/","Credo Technology Group Holding Ltd")</f>
        <v>0</v>
      </c>
      <c r="C364">
        <v>-0.181962025316455</v>
      </c>
      <c r="D364">
        <v>-0.13109243697479</v>
      </c>
      <c r="E364">
        <v>-0.230654761904761</v>
      </c>
      <c r="F364">
        <v>-0.11244635193133</v>
      </c>
      <c r="G364">
        <v>-0.11244635193133</v>
      </c>
      <c r="H364">
        <v>-0.11244635193133</v>
      </c>
      <c r="I364">
        <v>-0.11244635193133</v>
      </c>
    </row>
    <row r="365" spans="1:9">
      <c r="A365" s="1" t="s">
        <v>377</v>
      </c>
      <c r="B365">
        <f>HYPERLINK("https://www.suredividend.com/sure-analysis-research-database/","Crescent Energy Company")</f>
        <v>0</v>
      </c>
      <c r="C365">
        <v>-0.091482649842271</v>
      </c>
      <c r="D365">
        <v>0.144201125131106</v>
      </c>
      <c r="E365">
        <v>-0.203676360800968</v>
      </c>
      <c r="F365">
        <v>0.168006359145733</v>
      </c>
      <c r="G365">
        <v>-0.119476088272522</v>
      </c>
      <c r="H365">
        <v>-0.119476088272522</v>
      </c>
      <c r="I365">
        <v>-0.119476088272522</v>
      </c>
    </row>
    <row r="366" spans="1:9">
      <c r="A366" s="1" t="s">
        <v>378</v>
      </c>
      <c r="B366">
        <f>HYPERLINK("https://www.suredividend.com/sure-analysis-research-database/","Curis Inc")</f>
        <v>0</v>
      </c>
      <c r="C366">
        <v>-0.208433608873077</v>
      </c>
      <c r="D366">
        <v>-0.379918032786885</v>
      </c>
      <c r="E366">
        <v>-0.474652777777777</v>
      </c>
      <c r="F366">
        <v>-0.841071428571428</v>
      </c>
      <c r="G366">
        <v>-0.8995351925630811</v>
      </c>
      <c r="H366">
        <v>-0.369583333333333</v>
      </c>
      <c r="I366">
        <v>-0.907177914110429</v>
      </c>
    </row>
    <row r="367" spans="1:9">
      <c r="A367" s="1" t="s">
        <v>379</v>
      </c>
      <c r="B367">
        <f>HYPERLINK("https://www.suredividend.com/sure-analysis-research-database/","Comstock Resources, Inc.")</f>
        <v>0</v>
      </c>
      <c r="C367">
        <v>-0.044728434504792</v>
      </c>
      <c r="D367">
        <v>0.482644628099173</v>
      </c>
      <c r="E367">
        <v>0.221238938053097</v>
      </c>
      <c r="F367">
        <v>1.217552533992583</v>
      </c>
      <c r="G367">
        <v>0.70532319391635</v>
      </c>
      <c r="H367">
        <v>2.175221238938053</v>
      </c>
      <c r="I367">
        <v>2.866379310344828</v>
      </c>
    </row>
    <row r="368" spans="1:9">
      <c r="A368" s="1" t="s">
        <v>380</v>
      </c>
      <c r="B368">
        <f>HYPERLINK("https://www.suredividend.com/sure-analysis-research-database/","CorMedix Inc")</f>
        <v>0</v>
      </c>
      <c r="C368">
        <v>-0.241935483870967</v>
      </c>
      <c r="D368">
        <v>-0.325358851674641</v>
      </c>
      <c r="E368">
        <v>-0.460803059273422</v>
      </c>
      <c r="F368">
        <v>-0.38021978021978</v>
      </c>
      <c r="G368">
        <v>-0.42094455852156</v>
      </c>
      <c r="H368">
        <v>-0.533112582781456</v>
      </c>
      <c r="I368">
        <v>-0.129495292483407</v>
      </c>
    </row>
    <row r="369" spans="1:9">
      <c r="A369" s="1" t="s">
        <v>381</v>
      </c>
      <c r="B369">
        <f>HYPERLINK("https://www.suredividend.com/sure-analysis-research-database/","Americas Car Mart, Inc.")</f>
        <v>0</v>
      </c>
      <c r="C369">
        <v>-0.235369445511589</v>
      </c>
      <c r="D369">
        <v>-0.393807106598984</v>
      </c>
      <c r="E369">
        <v>-0.265288544358311</v>
      </c>
      <c r="F369">
        <v>-0.41689453125</v>
      </c>
      <c r="G369">
        <v>-0.492391396752529</v>
      </c>
      <c r="H369">
        <v>-0.361526946107784</v>
      </c>
      <c r="I369">
        <v>0.421666666666666</v>
      </c>
    </row>
    <row r="370" spans="1:9">
      <c r="A370" s="1" t="s">
        <v>382</v>
      </c>
      <c r="B370">
        <f>HYPERLINK("https://www.suredividend.com/sure-analysis-research-database/","Cerence Inc")</f>
        <v>0</v>
      </c>
      <c r="C370">
        <v>-0.220382824624935</v>
      </c>
      <c r="D370">
        <v>-0.427213987077156</v>
      </c>
      <c r="E370">
        <v>-0.543333333333333</v>
      </c>
      <c r="F370">
        <v>-0.8033663883089771</v>
      </c>
      <c r="G370">
        <v>-0.8247878153703051</v>
      </c>
      <c r="H370">
        <v>-0.7196800595238091</v>
      </c>
      <c r="I370">
        <v>-0.018241042345276</v>
      </c>
    </row>
    <row r="371" spans="1:9">
      <c r="A371" s="1" t="s">
        <v>383</v>
      </c>
      <c r="B371">
        <f>HYPERLINK("https://www.suredividend.com/sure-analysis-research-database/","Crinetics Pharmaceuticals Inc")</f>
        <v>0</v>
      </c>
      <c r="C371">
        <v>-0.196861626248216</v>
      </c>
      <c r="D371">
        <v>-0.20028409090909</v>
      </c>
      <c r="E371">
        <v>-0.266927083333333</v>
      </c>
      <c r="F371">
        <v>-0.4054910242872221</v>
      </c>
      <c r="G371">
        <v>-0.133846153846153</v>
      </c>
      <c r="H371">
        <v>0.051681195516812</v>
      </c>
      <c r="I371">
        <v>-0.310893512851897</v>
      </c>
    </row>
    <row r="372" spans="1:9">
      <c r="A372" s="1" t="s">
        <v>384</v>
      </c>
      <c r="B372">
        <f>HYPERLINK("https://www.suredividend.com/sure-analysis-research-database/","Crocs Inc")</f>
        <v>0</v>
      </c>
      <c r="C372">
        <v>-0.086206896551724</v>
      </c>
      <c r="D372">
        <v>0.268422865013774</v>
      </c>
      <c r="E372">
        <v>0.024902615470228</v>
      </c>
      <c r="F372">
        <v>-0.425440648884729</v>
      </c>
      <c r="G372">
        <v>-0.4350460122699381</v>
      </c>
      <c r="H372">
        <v>0.546389588581024</v>
      </c>
      <c r="I372">
        <v>6.441414141414142</v>
      </c>
    </row>
    <row r="373" spans="1:9">
      <c r="A373" s="1" t="s">
        <v>385</v>
      </c>
      <c r="B373">
        <f>HYPERLINK("https://www.suredividend.com/sure-analysis-research-database/","Carpenter Technology Corp.")</f>
        <v>0</v>
      </c>
      <c r="C373">
        <v>-0.038172192811367</v>
      </c>
      <c r="D373">
        <v>0.330081338403979</v>
      </c>
      <c r="E373">
        <v>-0.13758644121997</v>
      </c>
      <c r="F373">
        <v>0.203449982917425</v>
      </c>
      <c r="G373">
        <v>0.06122649746068001</v>
      </c>
      <c r="H373">
        <v>0.9263285361130791</v>
      </c>
      <c r="I373">
        <v>-0.221477478777818</v>
      </c>
    </row>
    <row r="374" spans="1:9">
      <c r="A374" s="1" t="s">
        <v>386</v>
      </c>
      <c r="B374">
        <f>HYPERLINK("https://www.suredividend.com/sure-analysis-research-database/","Corsair Gaming Inc")</f>
        <v>0</v>
      </c>
      <c r="C374">
        <v>-0.208333333333333</v>
      </c>
      <c r="D374">
        <v>-0.129342202512934</v>
      </c>
      <c r="E374">
        <v>-0.421698576337751</v>
      </c>
      <c r="F374">
        <v>-0.439314612089481</v>
      </c>
      <c r="G374">
        <v>-0.5412772585669781</v>
      </c>
      <c r="H374">
        <v>-0.349530646051905</v>
      </c>
      <c r="I374">
        <v>-0.173333333333333</v>
      </c>
    </row>
    <row r="375" spans="1:9">
      <c r="A375" s="1" t="s">
        <v>387</v>
      </c>
      <c r="B375">
        <f>HYPERLINK("https://www.suredividend.com/sure-analysis-research-database/","Cortexyme Inc")</f>
        <v>0</v>
      </c>
      <c r="C375">
        <v>-0.121621621621621</v>
      </c>
      <c r="D375">
        <v>-0.467213114754098</v>
      </c>
      <c r="E375">
        <v>-0.679276315789473</v>
      </c>
      <c r="F375">
        <v>-0.8454833597464341</v>
      </c>
      <c r="G375">
        <v>-0.9654928331268801</v>
      </c>
      <c r="H375">
        <v>-0.9510664993726471</v>
      </c>
      <c r="I375">
        <v>-0.9407114624505921</v>
      </c>
    </row>
    <row r="376" spans="1:9">
      <c r="A376" s="1" t="s">
        <v>388</v>
      </c>
      <c r="B376">
        <f>HYPERLINK("https://www.suredividend.com/sure-analysis-research-database/","Corvel Corp.")</f>
        <v>0</v>
      </c>
      <c r="C376">
        <v>-0.09726347721670901</v>
      </c>
      <c r="D376">
        <v>-0.045123337121465</v>
      </c>
      <c r="E376">
        <v>-0.178277627567163</v>
      </c>
      <c r="F376">
        <v>-0.31326923076923</v>
      </c>
      <c r="G376">
        <v>-0.164629510497689</v>
      </c>
      <c r="H376">
        <v>0.595086543830262</v>
      </c>
      <c r="I376">
        <v>1.473419913419913</v>
      </c>
    </row>
    <row r="377" spans="1:9">
      <c r="A377" s="1" t="s">
        <v>389</v>
      </c>
      <c r="B377">
        <f>HYPERLINK("https://www.suredividend.com/sure-analysis-research-database/","CSG Systems International Inc.")</f>
        <v>0</v>
      </c>
      <c r="C377">
        <v>1.0659200488E-05</v>
      </c>
      <c r="D377">
        <v>-0.061234087759353</v>
      </c>
      <c r="E377">
        <v>-0.106083680985102</v>
      </c>
      <c r="F377">
        <v>-0.009688480261502</v>
      </c>
      <c r="G377">
        <v>0.123055252961761</v>
      </c>
      <c r="H377">
        <v>0.41425054017386</v>
      </c>
      <c r="I377">
        <v>0.521795551133844</v>
      </c>
    </row>
    <row r="378" spans="1:9">
      <c r="A378" s="1" t="s">
        <v>390</v>
      </c>
      <c r="B378">
        <f>HYPERLINK("https://www.suredividend.com/sure-analysis-research-database/","Cardiovascular Systems Inc.")</f>
        <v>0</v>
      </c>
      <c r="C378">
        <v>-0.09837225760792601</v>
      </c>
      <c r="D378">
        <v>-0.145539906103286</v>
      </c>
      <c r="E378">
        <v>-0.415596330275229</v>
      </c>
      <c r="F378">
        <v>-0.321618743343983</v>
      </c>
      <c r="G378">
        <v>-0.6067901234567901</v>
      </c>
      <c r="H378">
        <v>-0.6649132035770641</v>
      </c>
      <c r="I378">
        <v>-0.5510923185341791</v>
      </c>
    </row>
    <row r="379" spans="1:9">
      <c r="A379" s="1" t="s">
        <v>391</v>
      </c>
      <c r="B379">
        <f>HYPERLINK("https://www.suredividend.com/sure-analysis-research-database/","Centerspace")</f>
        <v>0</v>
      </c>
      <c r="C379">
        <v>-0.158795730623274</v>
      </c>
      <c r="D379">
        <v>-0.171096150808009</v>
      </c>
      <c r="E379">
        <v>-0.327133501842988</v>
      </c>
      <c r="F379">
        <v>-0.397300171564722</v>
      </c>
      <c r="G379">
        <v>-0.303429107369989</v>
      </c>
      <c r="H379">
        <v>-0.06321094312455</v>
      </c>
      <c r="I379">
        <v>0.196105395527382</v>
      </c>
    </row>
    <row r="380" spans="1:9">
      <c r="A380" s="1" t="s">
        <v>392</v>
      </c>
      <c r="B380">
        <f>HYPERLINK("https://www.suredividend.com/sure-analysis-research-database/","Chicken Soup for the Soul Entertainment Inc")</f>
        <v>0</v>
      </c>
      <c r="C380">
        <v>-0.273159144893111</v>
      </c>
      <c r="D380">
        <v>-0.228247162673392</v>
      </c>
      <c r="E380">
        <v>-0.350318471337579</v>
      </c>
      <c r="F380">
        <v>-0.557803468208092</v>
      </c>
      <c r="G380">
        <v>-0.713080168776371</v>
      </c>
      <c r="H380">
        <v>-0.5850847457627111</v>
      </c>
      <c r="I380">
        <v>-0.17919555799949</v>
      </c>
    </row>
    <row r="381" spans="1:9">
      <c r="A381" s="1" t="s">
        <v>393</v>
      </c>
      <c r="B381">
        <f>HYPERLINK("https://www.suredividend.com/sure-analysis-research-database/","Caesarstone Ltd")</f>
        <v>0</v>
      </c>
      <c r="C381">
        <v>-0.06508875739644901</v>
      </c>
      <c r="D381">
        <v>0.10091743119266</v>
      </c>
      <c r="E381">
        <v>-0.082222415846185</v>
      </c>
      <c r="F381">
        <v>-0.143731991726355</v>
      </c>
      <c r="G381">
        <v>-0.209894652620349</v>
      </c>
      <c r="H381">
        <v>-0.162980425396657</v>
      </c>
      <c r="I381">
        <v>-0.6485999599670841</v>
      </c>
    </row>
    <row r="382" spans="1:9">
      <c r="A382" s="1" t="s">
        <v>394</v>
      </c>
      <c r="B382">
        <f>HYPERLINK("https://www.suredividend.com/sure-analysis-research-database/","Castle Biosciences Inc")</f>
        <v>0</v>
      </c>
      <c r="C382">
        <v>-0.178656665530173</v>
      </c>
      <c r="D382">
        <v>-0.06627906976744101</v>
      </c>
      <c r="E382">
        <v>-0.26442748091603</v>
      </c>
      <c r="F382">
        <v>-0.4380685794261721</v>
      </c>
      <c r="G382">
        <v>-0.6070146818923321</v>
      </c>
      <c r="H382">
        <v>-0.560882245716368</v>
      </c>
      <c r="I382">
        <v>0.125700934579439</v>
      </c>
    </row>
    <row r="383" spans="1:9">
      <c r="A383" s="1" t="s">
        <v>395</v>
      </c>
      <c r="B383">
        <f>HYPERLINK("https://www.suredividend.com/sure-analysis-research-database/","Constellium SE")</f>
        <v>0</v>
      </c>
      <c r="C383">
        <v>-0.156862745098039</v>
      </c>
      <c r="D383">
        <v>-0.134674922600619</v>
      </c>
      <c r="E383">
        <v>-0.347724620770128</v>
      </c>
      <c r="F383">
        <v>-0.375767727526521</v>
      </c>
      <c r="G383">
        <v>-0.417708333333333</v>
      </c>
      <c r="H383">
        <v>0.211267605633802</v>
      </c>
      <c r="I383">
        <v>0.054716981132075</v>
      </c>
    </row>
    <row r="384" spans="1:9">
      <c r="A384" s="1" t="s">
        <v>396</v>
      </c>
      <c r="B384">
        <f>HYPERLINK("https://www.suredividend.com/sure-analysis-research-database/","CapStar Financial Holdings Inc")</f>
        <v>0</v>
      </c>
      <c r="C384">
        <v>-0.076961519240379</v>
      </c>
      <c r="D384">
        <v>-0.04534976275882</v>
      </c>
      <c r="E384">
        <v>-0.09025982021918401</v>
      </c>
      <c r="F384">
        <v>-0.110672412547849</v>
      </c>
      <c r="G384">
        <v>-0.137834456747017</v>
      </c>
      <c r="H384">
        <v>0.7903185157900851</v>
      </c>
      <c r="I384">
        <v>-0.05209621710948301</v>
      </c>
    </row>
    <row r="385" spans="1:9">
      <c r="A385" s="1" t="s">
        <v>397</v>
      </c>
      <c r="B385">
        <f>HYPERLINK("https://www.suredividend.com/sure-analysis-research-database/","Carriage Services, Inc.")</f>
        <v>0</v>
      </c>
      <c r="C385">
        <v>-0.075317348377997</v>
      </c>
      <c r="D385">
        <v>-0.177386407552586</v>
      </c>
      <c r="E385">
        <v>-0.361149385413235</v>
      </c>
      <c r="F385">
        <v>-0.487064736561268</v>
      </c>
      <c r="G385">
        <v>-0.274428817438499</v>
      </c>
      <c r="H385">
        <v>0.396789684720961</v>
      </c>
      <c r="I385">
        <v>0.365184870519836</v>
      </c>
    </row>
    <row r="386" spans="1:9">
      <c r="A386" s="1" t="s">
        <v>398</v>
      </c>
      <c r="B386">
        <f>HYPERLINK("https://www.suredividend.com/sure-analysis-research-database/","CSW Industrials Inc")</f>
        <v>0</v>
      </c>
      <c r="C386">
        <v>-0.08800248331522501</v>
      </c>
      <c r="D386">
        <v>0.116316535391185</v>
      </c>
      <c r="E386">
        <v>0.083676977212537</v>
      </c>
      <c r="F386">
        <v>-0.023315110525292</v>
      </c>
      <c r="G386">
        <v>-0.132547124200326</v>
      </c>
      <c r="H386">
        <v>0.388529508024334</v>
      </c>
      <c r="I386">
        <v>1.554349479870804</v>
      </c>
    </row>
    <row r="387" spans="1:9">
      <c r="A387" s="1" t="s">
        <v>399</v>
      </c>
      <c r="B387">
        <f>HYPERLINK("https://www.suredividend.com/sure-analysis-CTBI/","Community Trust Bancorp, Inc.")</f>
        <v>0</v>
      </c>
      <c r="C387">
        <v>-0.023432423555764</v>
      </c>
      <c r="D387">
        <v>0.021467373842724</v>
      </c>
      <c r="E387">
        <v>0.06214021381578901</v>
      </c>
      <c r="F387">
        <v>-0.023326267631761</v>
      </c>
      <c r="G387">
        <v>-0.013806235474341</v>
      </c>
      <c r="H387">
        <v>0.429935578513254</v>
      </c>
      <c r="I387">
        <v>0.048529699039249</v>
      </c>
    </row>
    <row r="388" spans="1:9">
      <c r="A388" s="1" t="s">
        <v>400</v>
      </c>
      <c r="B388">
        <f>HYPERLINK("https://www.suredividend.com/sure-analysis-research-database/","Cytek BioSciences Inc")</f>
        <v>0</v>
      </c>
      <c r="C388">
        <v>-0.01063829787234</v>
      </c>
      <c r="D388">
        <v>0.24331550802139</v>
      </c>
      <c r="E388">
        <v>0.3649706457925631</v>
      </c>
      <c r="F388">
        <v>-0.145220588235294</v>
      </c>
      <c r="G388">
        <v>-0.35536044362292</v>
      </c>
      <c r="H388">
        <v>-0.25639658848614</v>
      </c>
      <c r="I388">
        <v>-0.25639658848614</v>
      </c>
    </row>
    <row r="389" spans="1:9">
      <c r="A389" s="1" t="s">
        <v>401</v>
      </c>
      <c r="B389">
        <f>HYPERLINK("https://www.suredividend.com/sure-analysis-research-database/","Cantaloupe Inc")</f>
        <v>0</v>
      </c>
      <c r="C389">
        <v>-0.348425196850393</v>
      </c>
      <c r="D389">
        <v>-0.378986866791744</v>
      </c>
      <c r="E389">
        <v>-0.451077943615257</v>
      </c>
      <c r="F389">
        <v>-0.627252252252252</v>
      </c>
      <c r="G389">
        <v>-0.6985428051001821</v>
      </c>
      <c r="H389">
        <v>-0.240825688073394</v>
      </c>
      <c r="I389">
        <v>-0.4868217054263561</v>
      </c>
    </row>
    <row r="390" spans="1:9">
      <c r="A390" s="1" t="s">
        <v>402</v>
      </c>
      <c r="B390">
        <f>HYPERLINK("https://www.suredividend.com/sure-analysis-research-database/","CytomX Therapeutics Inc")</f>
        <v>0</v>
      </c>
      <c r="C390">
        <v>-0.125</v>
      </c>
      <c r="D390">
        <v>0.07692307692307601</v>
      </c>
      <c r="E390">
        <v>-0.47565543071161</v>
      </c>
      <c r="F390">
        <v>-0.676674364896073</v>
      </c>
      <c r="G390">
        <v>-0.710144927536231</v>
      </c>
      <c r="H390">
        <v>-0.7945707997065291</v>
      </c>
      <c r="I390">
        <v>-0.935632183908046</v>
      </c>
    </row>
    <row r="391" spans="1:9">
      <c r="A391" s="1" t="s">
        <v>403</v>
      </c>
      <c r="B391">
        <f>HYPERLINK("https://www.suredividend.com/sure-analysis-CTO/","CTO Realty Growth Inc")</f>
        <v>0</v>
      </c>
      <c r="C391">
        <v>-0.141101278269419</v>
      </c>
      <c r="D391">
        <v>-0.123691431036471</v>
      </c>
      <c r="E391">
        <v>-0.155410305251249</v>
      </c>
      <c r="F391">
        <v>-0.100550893270864</v>
      </c>
      <c r="G391">
        <v>0.05541694104285001</v>
      </c>
      <c r="H391">
        <v>0.269659001715165</v>
      </c>
      <c r="I391">
        <v>0.269659001715165</v>
      </c>
    </row>
    <row r="392" spans="1:9">
      <c r="A392" s="1" t="s">
        <v>404</v>
      </c>
      <c r="B392">
        <f>HYPERLINK("https://www.suredividend.com/sure-analysis-research-database/","Custom Truck One Source Inc")</f>
        <v>0</v>
      </c>
      <c r="C392">
        <v>-0.106837606837606</v>
      </c>
      <c r="D392">
        <v>0.212765957446808</v>
      </c>
      <c r="E392">
        <v>-0.203303684879288</v>
      </c>
      <c r="F392">
        <v>-0.21625</v>
      </c>
      <c r="G392">
        <v>-0.264947245017585</v>
      </c>
      <c r="H392">
        <v>0.441379310344827</v>
      </c>
      <c r="I392">
        <v>-0.283428571428571</v>
      </c>
    </row>
    <row r="393" spans="1:9">
      <c r="A393" s="1" t="s">
        <v>405</v>
      </c>
      <c r="B393">
        <f>HYPERLINK("https://www.suredividend.com/sure-analysis-CTRE/","CareTrust REIT Inc")</f>
        <v>0</v>
      </c>
      <c r="C393">
        <v>-0.203028204240255</v>
      </c>
      <c r="D393">
        <v>-0.115917748871554</v>
      </c>
      <c r="E393">
        <v>-0.07514902547386701</v>
      </c>
      <c r="F393">
        <v>-0.230122334815475</v>
      </c>
      <c r="G393">
        <v>-0.1295851740567</v>
      </c>
      <c r="H393">
        <v>0.004047699840031001</v>
      </c>
      <c r="I393">
        <v>0.14322379450949</v>
      </c>
    </row>
    <row r="394" spans="1:9">
      <c r="A394" s="1" t="s">
        <v>406</v>
      </c>
      <c r="B394">
        <f>HYPERLINK("https://www.suredividend.com/sure-analysis-research-database/","Citi Trends Inc")</f>
        <v>0</v>
      </c>
      <c r="C394">
        <v>-0.102695167286245</v>
      </c>
      <c r="D394">
        <v>-0.223250201126307</v>
      </c>
      <c r="E394">
        <v>-0.3622853368560101</v>
      </c>
      <c r="F394">
        <v>-0.796200527704485</v>
      </c>
      <c r="G394">
        <v>-0.7396872472364521</v>
      </c>
      <c r="H394">
        <v>-0.30010873504893</v>
      </c>
      <c r="I394">
        <v>-0.021817868667271</v>
      </c>
    </row>
    <row r="395" spans="1:9">
      <c r="A395" s="1" t="s">
        <v>407</v>
      </c>
      <c r="B395">
        <f>HYPERLINK("https://www.suredividend.com/sure-analysis-research-database/","CTS Corp.")</f>
        <v>0</v>
      </c>
      <c r="C395">
        <v>-0.014575627969969</v>
      </c>
      <c r="D395">
        <v>0.256728188674153</v>
      </c>
      <c r="E395">
        <v>0.223285328165042</v>
      </c>
      <c r="F395">
        <v>0.144934940048682</v>
      </c>
      <c r="G395">
        <v>0.3210485172483351</v>
      </c>
      <c r="H395">
        <v>0.701086162388582</v>
      </c>
      <c r="I395">
        <v>0.6880475279428051</v>
      </c>
    </row>
    <row r="396" spans="1:9">
      <c r="A396" s="1" t="s">
        <v>408</v>
      </c>
      <c r="B396">
        <f>HYPERLINK("https://www.suredividend.com/sure-analysis-research-database/","Cytosorbents Corp")</f>
        <v>0</v>
      </c>
      <c r="C396">
        <v>-0.109826589595375</v>
      </c>
      <c r="D396">
        <v>-0.373983739837398</v>
      </c>
      <c r="E396">
        <v>-0.486666666666666</v>
      </c>
      <c r="F396">
        <v>-0.632458233890214</v>
      </c>
      <c r="G396">
        <v>-0.7840112201963531</v>
      </c>
      <c r="H396">
        <v>-0.81265206812652</v>
      </c>
      <c r="I396">
        <v>-0.761240310077519</v>
      </c>
    </row>
    <row r="397" spans="1:9">
      <c r="A397" s="1" t="s">
        <v>409</v>
      </c>
      <c r="B397">
        <f>HYPERLINK("https://www.suredividend.com/sure-analysis-research-database/","CatchMark Timber Trust Inc")</f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>
      <c r="A398" s="1" t="s">
        <v>410</v>
      </c>
      <c r="B398">
        <f>HYPERLINK("https://www.suredividend.com/sure-analysis-research-database/","Citius Pharmaceuticals Inc")</f>
        <v>0</v>
      </c>
      <c r="C398">
        <v>-0.136363636363636</v>
      </c>
      <c r="D398">
        <v>0.216259468686653</v>
      </c>
      <c r="E398">
        <v>-0.254901960784313</v>
      </c>
      <c r="F398">
        <v>-0.259740259740259</v>
      </c>
      <c r="G398">
        <v>-0.4411764705882351</v>
      </c>
      <c r="H398">
        <v>0.08571428571428501</v>
      </c>
      <c r="I398">
        <v>-0.681564245810055</v>
      </c>
    </row>
    <row r="399" spans="1:9">
      <c r="A399" s="1" t="s">
        <v>411</v>
      </c>
      <c r="B399">
        <f>HYPERLINK("https://www.suredividend.com/sure-analysis-research-database/","Customers Bancorp Inc")</f>
        <v>0</v>
      </c>
      <c r="C399">
        <v>-0.098849218058424</v>
      </c>
      <c r="D399">
        <v>-0.115039119095914</v>
      </c>
      <c r="E399">
        <v>-0.325827814569536</v>
      </c>
      <c r="F399">
        <v>-0.5328132170720511</v>
      </c>
      <c r="G399">
        <v>-0.31769436997319</v>
      </c>
      <c r="H399">
        <v>1.743245185398103</v>
      </c>
      <c r="I399">
        <v>0.052990887181025</v>
      </c>
    </row>
    <row r="400" spans="1:9">
      <c r="A400" s="1" t="s">
        <v>412</v>
      </c>
      <c r="B400">
        <f>HYPERLINK("https://www.suredividend.com/sure-analysis-research-database/","Cue Biopharma Inc")</f>
        <v>0</v>
      </c>
      <c r="C400">
        <v>-0.073170731707317</v>
      </c>
      <c r="D400">
        <v>0.062937062937062</v>
      </c>
      <c r="E400">
        <v>-0.426955702167766</v>
      </c>
      <c r="F400">
        <v>-0.7312113174182141</v>
      </c>
      <c r="G400">
        <v>-0.768821292775665</v>
      </c>
      <c r="H400">
        <v>-0.8133824432166971</v>
      </c>
      <c r="I400">
        <v>-0.7386070507308681</v>
      </c>
    </row>
    <row r="401" spans="1:9">
      <c r="A401" s="1" t="s">
        <v>413</v>
      </c>
      <c r="B401">
        <f>HYPERLINK("https://www.suredividend.com/sure-analysis-research-database/","CuriosityStream Inc")</f>
        <v>0</v>
      </c>
      <c r="C401">
        <v>-0.141975308641975</v>
      </c>
      <c r="D401">
        <v>-0.214689265536723</v>
      </c>
      <c r="E401">
        <v>-0.4653846153846151</v>
      </c>
      <c r="F401">
        <v>-0.765598650927487</v>
      </c>
      <c r="G401">
        <v>-0.862512363996043</v>
      </c>
      <c r="H401">
        <v>-0.861691542288557</v>
      </c>
      <c r="I401">
        <v>-0.861</v>
      </c>
    </row>
    <row r="402" spans="1:9">
      <c r="A402" s="1" t="s">
        <v>414</v>
      </c>
      <c r="B402">
        <f>HYPERLINK("https://www.suredividend.com/sure-analysis-research-database/","CURO Group Holdings Corp")</f>
        <v>0</v>
      </c>
      <c r="C402">
        <v>-0.360681114551083</v>
      </c>
      <c r="D402">
        <v>-0.301491729526773</v>
      </c>
      <c r="E402">
        <v>-0.665462439451131</v>
      </c>
      <c r="F402">
        <v>-0.7329798926747261</v>
      </c>
      <c r="G402">
        <v>-0.7674497173359761</v>
      </c>
      <c r="H402">
        <v>-0.4758084987561551</v>
      </c>
      <c r="I402">
        <v>-0.6835564273290781</v>
      </c>
    </row>
    <row r="403" spans="1:9">
      <c r="A403" s="1" t="s">
        <v>415</v>
      </c>
      <c r="B403">
        <f>HYPERLINK("https://www.suredividend.com/sure-analysis-research-database/","Torrid Holdings Inc")</f>
        <v>0</v>
      </c>
      <c r="C403">
        <v>-0.326153846153846</v>
      </c>
      <c r="D403">
        <v>-0.04782608695652101</v>
      </c>
      <c r="E403">
        <v>-0.251282051282051</v>
      </c>
      <c r="F403">
        <v>-0.556680161943319</v>
      </c>
      <c r="G403">
        <v>-0.703050847457627</v>
      </c>
      <c r="H403">
        <v>-0.8186335403726701</v>
      </c>
      <c r="I403">
        <v>-0.8186335403726701</v>
      </c>
    </row>
    <row r="404" spans="1:9">
      <c r="A404" s="1" t="s">
        <v>416</v>
      </c>
      <c r="B404">
        <f>HYPERLINK("https://www.suredividend.com/sure-analysis-research-database/","Cutera Inc")</f>
        <v>0</v>
      </c>
      <c r="C404">
        <v>-0.07726269315673201</v>
      </c>
      <c r="D404">
        <v>0.142644135188866</v>
      </c>
      <c r="E404">
        <v>-0.299298994209082</v>
      </c>
      <c r="F404">
        <v>0.112778315585672</v>
      </c>
      <c r="G404">
        <v>0.050971428571428</v>
      </c>
      <c r="H404">
        <v>1.308232931726907</v>
      </c>
      <c r="I404">
        <v>0.059447004608294</v>
      </c>
    </row>
    <row r="405" spans="1:9">
      <c r="A405" s="1" t="s">
        <v>417</v>
      </c>
      <c r="B405">
        <f>HYPERLINK("https://www.suredividend.com/sure-analysis-research-database/","CVB Financial Corp.")</f>
        <v>0</v>
      </c>
      <c r="C405">
        <v>0.032066522268744</v>
      </c>
      <c r="D405">
        <v>0.079913606911447</v>
      </c>
      <c r="E405">
        <v>0.182330110156372</v>
      </c>
      <c r="F405">
        <v>0.259457883441594</v>
      </c>
      <c r="G405">
        <v>0.337529504327301</v>
      </c>
      <c r="H405">
        <v>0.5728432349833761</v>
      </c>
      <c r="I405">
        <v>0.299130297592048</v>
      </c>
    </row>
    <row r="406" spans="1:9">
      <c r="A406" s="1" t="s">
        <v>418</v>
      </c>
      <c r="B406">
        <f>HYPERLINK("https://www.suredividend.com/sure-analysis-research-database/","Cavco Industries Inc")</f>
        <v>0</v>
      </c>
      <c r="C406">
        <v>-0.059395485943068</v>
      </c>
      <c r="D406">
        <v>-0.037718863933024</v>
      </c>
      <c r="E406">
        <v>-0.07007394519356201</v>
      </c>
      <c r="F406">
        <v>-0.326963639225562</v>
      </c>
      <c r="G406">
        <v>-0.08492060095022001</v>
      </c>
      <c r="H406">
        <v>0.148729246144752</v>
      </c>
      <c r="I406">
        <v>0.3968637700098001</v>
      </c>
    </row>
    <row r="407" spans="1:9">
      <c r="A407" s="1" t="s">
        <v>419</v>
      </c>
      <c r="B407">
        <f>HYPERLINK("https://www.suredividend.com/sure-analysis-research-database/","Covetrus Inc")</f>
        <v>0</v>
      </c>
      <c r="C407">
        <v>0.001435406698564</v>
      </c>
      <c r="D407">
        <v>0.008674698795180001</v>
      </c>
      <c r="E407">
        <v>0.310582341891045</v>
      </c>
      <c r="F407">
        <v>0.04807210816224301</v>
      </c>
      <c r="G407">
        <v>0.06243654822335001</v>
      </c>
      <c r="H407">
        <v>-0.186552662261951</v>
      </c>
      <c r="I407">
        <v>-0.489636673981955</v>
      </c>
    </row>
    <row r="408" spans="1:9">
      <c r="A408" s="1" t="s">
        <v>420</v>
      </c>
      <c r="B408">
        <f>HYPERLINK("https://www.suredividend.com/sure-analysis-research-database/","Commercial Vehicle Group Inc")</f>
        <v>0</v>
      </c>
      <c r="C408">
        <v>-0.294022617124394</v>
      </c>
      <c r="D408">
        <v>-0.278877887788778</v>
      </c>
      <c r="E408">
        <v>-0.4280104712041881</v>
      </c>
      <c r="F408">
        <v>-0.457816377171215</v>
      </c>
      <c r="G408">
        <v>-0.5651741293532331</v>
      </c>
      <c r="H408">
        <v>-0.3008</v>
      </c>
      <c r="I408">
        <v>-0.424242424242424</v>
      </c>
    </row>
    <row r="409" spans="1:9">
      <c r="A409" s="1" t="s">
        <v>421</v>
      </c>
      <c r="B409">
        <f>HYPERLINK("https://www.suredividend.com/sure-analysis-research-database/","Calavo Growers, Inc")</f>
        <v>0</v>
      </c>
      <c r="C409">
        <v>-0.17497320471597</v>
      </c>
      <c r="D409">
        <v>-0.282451642973665</v>
      </c>
      <c r="E409">
        <v>-0.167162564241276</v>
      </c>
      <c r="F409">
        <v>-0.273820754716981</v>
      </c>
      <c r="G409">
        <v>-0.148073134559621</v>
      </c>
      <c r="H409">
        <v>-0.531312553182097</v>
      </c>
      <c r="I409">
        <v>-0.538603552707688</v>
      </c>
    </row>
    <row r="410" spans="1:9">
      <c r="A410" s="1" t="s">
        <v>422</v>
      </c>
      <c r="B410">
        <f>HYPERLINK("https://www.suredividend.com/sure-analysis-research-database/","CVR Energy Inc")</f>
        <v>0</v>
      </c>
      <c r="C410">
        <v>-0.021912940479715</v>
      </c>
      <c r="D410">
        <v>0.148210592181878</v>
      </c>
      <c r="E410">
        <v>0.37823120736058</v>
      </c>
      <c r="F410">
        <v>1.157949066391397</v>
      </c>
      <c r="G410">
        <v>0.9315789473684211</v>
      </c>
      <c r="H410">
        <v>2.080495789149716</v>
      </c>
      <c r="I410">
        <v>0.767255216693418</v>
      </c>
    </row>
    <row r="411" spans="1:9">
      <c r="A411" s="1" t="s">
        <v>423</v>
      </c>
      <c r="B411">
        <f>HYPERLINK("https://www.suredividend.com/sure-analysis-research-database/","Covenant Logistics Group Inc")</f>
        <v>0</v>
      </c>
      <c r="C411">
        <v>0.042567799519395</v>
      </c>
      <c r="D411">
        <v>0.151045871281462</v>
      </c>
      <c r="E411">
        <v>0.6419233805131751</v>
      </c>
      <c r="F411">
        <v>0.15868710106941</v>
      </c>
      <c r="G411">
        <v>0.093326997292782</v>
      </c>
      <c r="H411">
        <v>0.714676091645118</v>
      </c>
      <c r="I411">
        <v>0.06669195537947101</v>
      </c>
    </row>
    <row r="412" spans="1:9">
      <c r="A412" s="1" t="s">
        <v>424</v>
      </c>
      <c r="B412">
        <f>HYPERLINK("https://www.suredividend.com/sure-analysis-research-database/","Commvault Systems Inc")</f>
        <v>0</v>
      </c>
      <c r="C412">
        <v>0.030925891005091</v>
      </c>
      <c r="D412">
        <v>-0.183176453010608</v>
      </c>
      <c r="E412">
        <v>-0.134557543137565</v>
      </c>
      <c r="F412">
        <v>-0.206761462565293</v>
      </c>
      <c r="G412">
        <v>-0.258309591642924</v>
      </c>
      <c r="H412">
        <v>0.247888609906413</v>
      </c>
      <c r="I412">
        <v>-0.123878205128205</v>
      </c>
    </row>
    <row r="413" spans="1:9">
      <c r="A413" s="1" t="s">
        <v>425</v>
      </c>
      <c r="B413">
        <f>HYPERLINK("https://www.suredividend.com/sure-analysis-research-database/","Cel-Sci Corp.")</f>
        <v>0</v>
      </c>
      <c r="C413">
        <v>-0.247619047619047</v>
      </c>
      <c r="D413">
        <v>-0.316017316017316</v>
      </c>
      <c r="E413">
        <v>-0.193877551020408</v>
      </c>
      <c r="F413">
        <v>-0.554929577464788</v>
      </c>
      <c r="G413">
        <v>-0.688055281342546</v>
      </c>
      <c r="H413">
        <v>-0.787491593813046</v>
      </c>
      <c r="I413">
        <v>0.6989247311827951</v>
      </c>
    </row>
    <row r="414" spans="1:9">
      <c r="A414" s="1" t="s">
        <v>426</v>
      </c>
      <c r="B414">
        <f>HYPERLINK("https://www.suredividend.com/sure-analysis-research-database/","CVRx Inc")</f>
        <v>0</v>
      </c>
      <c r="C414">
        <v>0.127532777115613</v>
      </c>
      <c r="D414">
        <v>0.4119402985074621</v>
      </c>
      <c r="E414">
        <v>0.6310344827586211</v>
      </c>
      <c r="F414">
        <v>-0.226492232215862</v>
      </c>
      <c r="G414">
        <v>-0.427360774818401</v>
      </c>
      <c r="H414">
        <v>-0.662142857142857</v>
      </c>
      <c r="I414">
        <v>-0.662142857142857</v>
      </c>
    </row>
    <row r="415" spans="1:9">
      <c r="A415" s="1" t="s">
        <v>427</v>
      </c>
      <c r="B415">
        <f>HYPERLINK("https://www.suredividend.com/sure-analysis-CWEN/","Clearway Energy Inc")</f>
        <v>0</v>
      </c>
      <c r="C415">
        <v>-0.19800969635111</v>
      </c>
      <c r="D415">
        <v>-0.109805732024051</v>
      </c>
      <c r="E415">
        <v>-0.09559942795153101</v>
      </c>
      <c r="F415">
        <v>-0.109818338365328</v>
      </c>
      <c r="G415">
        <v>0.001612522865319</v>
      </c>
      <c r="H415">
        <v>0.101384878472708</v>
      </c>
      <c r="I415">
        <v>0.767965124455069</v>
      </c>
    </row>
    <row r="416" spans="1:9">
      <c r="A416" s="1" t="s">
        <v>428</v>
      </c>
      <c r="B416">
        <f>HYPERLINK("https://www.suredividend.com/sure-analysis-research-database/","Clearway Energy Inc")</f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>
      <c r="A417" s="1" t="s">
        <v>429</v>
      </c>
      <c r="B417">
        <f>HYPERLINK("https://www.suredividend.com/sure-analysis-CWH/","Camping World Holdings Inc")</f>
        <v>0</v>
      </c>
      <c r="C417">
        <v>-0.109254878769958</v>
      </c>
      <c r="D417">
        <v>0.152839263504874</v>
      </c>
      <c r="E417">
        <v>0.002909231229027</v>
      </c>
      <c r="F417">
        <v>-0.300749103186326</v>
      </c>
      <c r="G417">
        <v>-0.289658923743505</v>
      </c>
      <c r="H417">
        <v>-0.052205561633452</v>
      </c>
      <c r="I417">
        <v>-0.230248811691158</v>
      </c>
    </row>
    <row r="418" spans="1:9">
      <c r="A418" s="1" t="s">
        <v>430</v>
      </c>
      <c r="B418">
        <f>HYPERLINK("https://www.suredividend.com/sure-analysis-research-database/","Cushman &amp; Wakefield plc")</f>
        <v>0</v>
      </c>
      <c r="C418">
        <v>-0.268482490272373</v>
      </c>
      <c r="D418">
        <v>-0.253968253968253</v>
      </c>
      <c r="E418">
        <v>-0.398720682302771</v>
      </c>
      <c r="F418">
        <v>-0.4928057553956831</v>
      </c>
      <c r="G418">
        <v>-0.3832695462001091</v>
      </c>
      <c r="H418">
        <v>-0.07692307692307601</v>
      </c>
      <c r="I418">
        <v>-0.366647950589556</v>
      </c>
    </row>
    <row r="419" spans="1:9">
      <c r="A419" s="1" t="s">
        <v>431</v>
      </c>
      <c r="B419">
        <f>HYPERLINK("https://www.suredividend.com/sure-analysis-research-database/","Casella Waste Systems, Inc.")</f>
        <v>0</v>
      </c>
      <c r="C419">
        <v>-0.145547741089521</v>
      </c>
      <c r="D419">
        <v>-0.03161307754660801</v>
      </c>
      <c r="E419">
        <v>-0.198299966446706</v>
      </c>
      <c r="F419">
        <v>-0.160852259424022</v>
      </c>
      <c r="G419">
        <v>-0.09836477987421301</v>
      </c>
      <c r="H419">
        <v>0.199665271966527</v>
      </c>
      <c r="I419">
        <v>2.955849889624724</v>
      </c>
    </row>
    <row r="420" spans="1:9">
      <c r="A420" s="1" t="s">
        <v>432</v>
      </c>
      <c r="B420">
        <f>HYPERLINK("https://www.suredividend.com/sure-analysis-CWT/","California Water Service Group")</f>
        <v>0</v>
      </c>
      <c r="C420">
        <v>-0.09066121336059901</v>
      </c>
      <c r="D420">
        <v>-0.033578440250661</v>
      </c>
      <c r="E420">
        <v>-0.082568807339449</v>
      </c>
      <c r="F420">
        <v>-0.247599750139947</v>
      </c>
      <c r="G420">
        <v>-0.09975418700346</v>
      </c>
      <c r="H420">
        <v>0.227564058323095</v>
      </c>
      <c r="I420">
        <v>0.4038595614254331</v>
      </c>
    </row>
    <row r="421" spans="1:9">
      <c r="A421" s="1" t="s">
        <v>433</v>
      </c>
      <c r="B421">
        <f>HYPERLINK("https://www.suredividend.com/sure-analysis-research-database/","CoreCivic Inc")</f>
        <v>0</v>
      </c>
      <c r="C421">
        <v>-0.013443640124095</v>
      </c>
      <c r="D421">
        <v>-0.136651583710407</v>
      </c>
      <c r="E421">
        <v>-0.145926589077887</v>
      </c>
      <c r="F421">
        <v>-0.043129388164493</v>
      </c>
      <c r="G421">
        <v>0.014893617021276</v>
      </c>
      <c r="H421">
        <v>0.204545454545454</v>
      </c>
      <c r="I421">
        <v>-0.535811599844297</v>
      </c>
    </row>
    <row r="422" spans="1:9">
      <c r="A422" s="1" t="s">
        <v>434</v>
      </c>
      <c r="B422">
        <f>HYPERLINK("https://www.suredividend.com/sure-analysis-research-database/","Community Health Systems, Inc.")</f>
        <v>0</v>
      </c>
      <c r="C422">
        <v>-0.356037151702786</v>
      </c>
      <c r="D422">
        <v>-0.472081218274111</v>
      </c>
      <c r="E422">
        <v>-0.810045662100456</v>
      </c>
      <c r="F422">
        <v>-0.8437265214124711</v>
      </c>
      <c r="G422">
        <v>-0.8046948356807511</v>
      </c>
      <c r="H422">
        <v>-0.574642126789366</v>
      </c>
      <c r="I422">
        <v>-0.672955974842767</v>
      </c>
    </row>
    <row r="423" spans="1:9">
      <c r="A423" s="1" t="s">
        <v>435</v>
      </c>
      <c r="B423">
        <f>HYPERLINK("https://www.suredividend.com/sure-analysis-research-database/","CryoPort Inc")</f>
        <v>0</v>
      </c>
      <c r="C423">
        <v>-0.29627473806752</v>
      </c>
      <c r="D423">
        <v>-0.334617501375894</v>
      </c>
      <c r="E423">
        <v>-0.211092985318107</v>
      </c>
      <c r="F423">
        <v>-0.591346966368091</v>
      </c>
      <c r="G423">
        <v>-0.631290027447392</v>
      </c>
      <c r="H423">
        <v>-0.507134121483897</v>
      </c>
      <c r="I423">
        <v>1.858156028368794</v>
      </c>
    </row>
    <row r="424" spans="1:9">
      <c r="A424" s="1" t="s">
        <v>436</v>
      </c>
      <c r="B424">
        <f>HYPERLINK("https://www.suredividend.com/sure-analysis-research-database/","Cyteir Therapeutics Inc")</f>
        <v>0</v>
      </c>
      <c r="C424">
        <v>-0.09523809523809501</v>
      </c>
      <c r="D424">
        <v>-0.47075208913649</v>
      </c>
      <c r="E424">
        <v>-0.5214105793450881</v>
      </c>
      <c r="F424">
        <v>-0.8328935795954261</v>
      </c>
      <c r="G424">
        <v>-0.8879716981132071</v>
      </c>
      <c r="H424">
        <v>-0.8908045977011491</v>
      </c>
      <c r="I424">
        <v>-0.8908045977011491</v>
      </c>
    </row>
    <row r="425" spans="1:9">
      <c r="A425" s="1" t="s">
        <v>437</v>
      </c>
      <c r="B425">
        <f>HYPERLINK("https://www.suredividend.com/sure-analysis-research-database/","Cytokinetics Inc")</f>
        <v>0</v>
      </c>
      <c r="C425">
        <v>-0.133712399119589</v>
      </c>
      <c r="D425">
        <v>0.015698924731182</v>
      </c>
      <c r="E425">
        <v>0.132885584072919</v>
      </c>
      <c r="F425">
        <v>0.036200087757788</v>
      </c>
      <c r="G425">
        <v>0.242567745330176</v>
      </c>
      <c r="H425">
        <v>2.095019659239842</v>
      </c>
      <c r="I425">
        <v>2.056957928802588</v>
      </c>
    </row>
    <row r="426" spans="1:9">
      <c r="A426" s="1" t="s">
        <v>438</v>
      </c>
      <c r="B426">
        <f>HYPERLINK("https://www.suredividend.com/sure-analysis-research-database/","Citizens &amp; Northern Corp")</f>
        <v>0</v>
      </c>
      <c r="C426">
        <v>-0.036681950812838</v>
      </c>
      <c r="D426">
        <v>-0.03328494877790601</v>
      </c>
      <c r="E426">
        <v>-0.022365866143231</v>
      </c>
      <c r="F426">
        <v>-0.08444426836756901</v>
      </c>
      <c r="G426">
        <v>-0.067276374364831</v>
      </c>
      <c r="H426">
        <v>0.416566037967157</v>
      </c>
      <c r="I426">
        <v>0.118245646293724</v>
      </c>
    </row>
    <row r="427" spans="1:9">
      <c r="A427" s="1" t="s">
        <v>439</v>
      </c>
      <c r="B427">
        <f>HYPERLINK("https://www.suredividend.com/sure-analysis-research-database/","Daktronics Inc.")</f>
        <v>0</v>
      </c>
      <c r="C427">
        <v>-0.091803278688524</v>
      </c>
      <c r="D427">
        <v>-0.079734219269102</v>
      </c>
      <c r="E427">
        <v>-0.269129287598944</v>
      </c>
      <c r="F427">
        <v>-0.4514851485148511</v>
      </c>
      <c r="G427">
        <v>-0.510600706713781</v>
      </c>
      <c r="H427">
        <v>-0.3451536643026</v>
      </c>
      <c r="I427">
        <v>-0.718269749087173</v>
      </c>
    </row>
    <row r="428" spans="1:9">
      <c r="A428" s="1" t="s">
        <v>440</v>
      </c>
      <c r="B428">
        <f>HYPERLINK("https://www.suredividend.com/sure-analysis-research-database/","Dana Inc")</f>
        <v>0</v>
      </c>
      <c r="C428">
        <v>-0.193951347797501</v>
      </c>
      <c r="D428">
        <v>-0.140385073831526</v>
      </c>
      <c r="E428">
        <v>-0.181711997330218</v>
      </c>
      <c r="F428">
        <v>-0.453010672091944</v>
      </c>
      <c r="G428">
        <v>-0.48877899073464</v>
      </c>
      <c r="H428">
        <v>-0.158596929496462</v>
      </c>
      <c r="I428">
        <v>-0.529769141962926</v>
      </c>
    </row>
    <row r="429" spans="1:9">
      <c r="A429" s="1" t="s">
        <v>441</v>
      </c>
      <c r="B429">
        <f>HYPERLINK("https://www.suredividend.com/sure-analysis-research-database/","Day One Biopharmaceuticals Inc")</f>
        <v>0</v>
      </c>
      <c r="C429">
        <v>-0.231793265465935</v>
      </c>
      <c r="D429">
        <v>0.001020408163265</v>
      </c>
      <c r="E429">
        <v>0.7691614066726781</v>
      </c>
      <c r="F429">
        <v>0.164391691394658</v>
      </c>
      <c r="G429">
        <v>-0.109396277802995</v>
      </c>
      <c r="H429">
        <v>-0.24217844727694</v>
      </c>
      <c r="I429">
        <v>-0.24217844727694</v>
      </c>
    </row>
    <row r="430" spans="1:9">
      <c r="A430" s="1" t="s">
        <v>442</v>
      </c>
      <c r="B430">
        <f>HYPERLINK("https://www.suredividend.com/sure-analysis-research-database/","Diebold Nixdorf Inc")</f>
        <v>0</v>
      </c>
      <c r="C430">
        <v>-0.08496732026143701</v>
      </c>
      <c r="D430">
        <v>-0.105431309904153</v>
      </c>
      <c r="E430">
        <v>-0.48051948051948</v>
      </c>
      <c r="F430">
        <v>-0.69060773480663</v>
      </c>
      <c r="G430">
        <v>-0.7270955165692</v>
      </c>
      <c r="H430">
        <v>-0.676300578034682</v>
      </c>
      <c r="I430">
        <v>-0.8758419467982741</v>
      </c>
    </row>
    <row r="431" spans="1:9">
      <c r="A431" s="1" t="s">
        <v>443</v>
      </c>
      <c r="B431">
        <f>HYPERLINK("https://www.suredividend.com/sure-analysis-research-database/","Designer Brands Inc")</f>
        <v>0</v>
      </c>
      <c r="C431">
        <v>-0.137139921852003</v>
      </c>
      <c r="D431">
        <v>0.158026011045786</v>
      </c>
      <c r="E431">
        <v>0.031233617526142</v>
      </c>
      <c r="F431">
        <v>0.058811864358763</v>
      </c>
      <c r="G431">
        <v>0.09662796071211101</v>
      </c>
      <c r="H431">
        <v>1.450458129128489</v>
      </c>
      <c r="I431">
        <v>-0.235028040443734</v>
      </c>
    </row>
    <row r="432" spans="1:9">
      <c r="A432" s="1" t="s">
        <v>444</v>
      </c>
      <c r="B432">
        <f>HYPERLINK("https://www.suredividend.com/sure-analysis-research-database/","DigitalBridge Group Inc")</f>
        <v>0</v>
      </c>
      <c r="C432">
        <v>-0.3167178539396081</v>
      </c>
      <c r="D432">
        <v>-0.3845777233782121</v>
      </c>
      <c r="E432">
        <v>-0.5507425079075751</v>
      </c>
      <c r="F432">
        <v>-0.622472639027378</v>
      </c>
      <c r="G432">
        <v>-0.530625123691668</v>
      </c>
      <c r="H432">
        <v>2.952830188679245</v>
      </c>
      <c r="I432">
        <v>0.05849957474758501</v>
      </c>
    </row>
    <row r="433" spans="1:9">
      <c r="A433" s="1" t="s">
        <v>445</v>
      </c>
      <c r="B433">
        <f>HYPERLINK("https://www.suredividend.com/sure-analysis-research-database/","Ducommun Inc.")</f>
        <v>0</v>
      </c>
      <c r="C433">
        <v>-0.06390134529147901</v>
      </c>
      <c r="D433">
        <v>-0.022705992509363</v>
      </c>
      <c r="E433">
        <v>-0.198348694316436</v>
      </c>
      <c r="F433">
        <v>-0.107333760957879</v>
      </c>
      <c r="G433">
        <v>-0.184888715345568</v>
      </c>
      <c r="H433">
        <v>0.174071991001124</v>
      </c>
      <c r="I433">
        <v>0.208743485813549</v>
      </c>
    </row>
    <row r="434" spans="1:9">
      <c r="A434" s="1" t="s">
        <v>446</v>
      </c>
      <c r="B434">
        <f>HYPERLINK("https://www.suredividend.com/sure-analysis-research-database/","Dime Community Bancshares Inc")</f>
        <v>0</v>
      </c>
      <c r="C434">
        <v>-0.025151225724291</v>
      </c>
      <c r="D434">
        <v>0.01386364163132</v>
      </c>
      <c r="E434">
        <v>-0.092678908488578</v>
      </c>
      <c r="F434">
        <v>-0.110199289786761</v>
      </c>
      <c r="G434">
        <v>-0.090609398620173</v>
      </c>
      <c r="H434">
        <v>0.6135491758357571</v>
      </c>
      <c r="I434">
        <v>-0.06081686235538</v>
      </c>
    </row>
    <row r="435" spans="1:9">
      <c r="A435" s="1" t="s">
        <v>447</v>
      </c>
      <c r="B435">
        <f>HYPERLINK("https://www.suredividend.com/sure-analysis-research-database/","Deciphera Pharmaceuticals Inc")</f>
        <v>0</v>
      </c>
      <c r="C435">
        <v>-0.032632743362831</v>
      </c>
      <c r="D435">
        <v>0.336134453781512</v>
      </c>
      <c r="E435">
        <v>0.7316831683168311</v>
      </c>
      <c r="F435">
        <v>0.7901740020470821</v>
      </c>
      <c r="G435">
        <v>-0.45884900990099</v>
      </c>
      <c r="H435">
        <v>-0.6728395061728391</v>
      </c>
      <c r="I435">
        <v>-0.236244541484716</v>
      </c>
    </row>
    <row r="436" spans="1:9">
      <c r="A436" s="1" t="s">
        <v>448</v>
      </c>
      <c r="B436">
        <f>HYPERLINK("https://www.suredividend.com/sure-analysis-research-database/","3D Systems Corp.")</f>
        <v>0</v>
      </c>
      <c r="C436">
        <v>-0.176063303659742</v>
      </c>
      <c r="D436">
        <v>-0.179310344827586</v>
      </c>
      <c r="E436">
        <v>-0.44131455399061</v>
      </c>
      <c r="F436">
        <v>-0.613277623026926</v>
      </c>
      <c r="G436">
        <v>-0.686842105263157</v>
      </c>
      <c r="H436">
        <v>0.245142002989536</v>
      </c>
      <c r="I436">
        <v>-0.343059936908517</v>
      </c>
    </row>
    <row r="437" spans="1:9">
      <c r="A437" s="1" t="s">
        <v>449</v>
      </c>
      <c r="B437">
        <f>HYPERLINK("https://www.suredividend.com/sure-analysis-DDS/","Dillard`s Inc.")</f>
        <v>0</v>
      </c>
      <c r="C437">
        <v>-0.09860935766357201</v>
      </c>
      <c r="D437">
        <v>0.363898257278616</v>
      </c>
      <c r="E437">
        <v>0.025664081960306</v>
      </c>
      <c r="F437">
        <v>0.157116812431151</v>
      </c>
      <c r="G437">
        <v>0.4243254116309501</v>
      </c>
      <c r="H437">
        <v>5.782879750629421</v>
      </c>
      <c r="I437">
        <v>4.672018270443467</v>
      </c>
    </row>
    <row r="438" spans="1:9">
      <c r="A438" s="1" t="s">
        <v>450</v>
      </c>
      <c r="B438">
        <f>HYPERLINK("https://www.suredividend.com/sure-analysis-DEA/","Easterly Government Properties Inc")</f>
        <v>0</v>
      </c>
      <c r="C438">
        <v>-0.169584245076586</v>
      </c>
      <c r="D438">
        <v>-0.192630492825155</v>
      </c>
      <c r="E438">
        <v>-0.242117876132704</v>
      </c>
      <c r="F438">
        <v>-0.309940403943977</v>
      </c>
      <c r="G438">
        <v>-0.242907872162151</v>
      </c>
      <c r="H438">
        <v>-0.256967762777902</v>
      </c>
      <c r="I438">
        <v>-0.052191884314961</v>
      </c>
    </row>
    <row r="439" spans="1:9">
      <c r="A439" s="1" t="s">
        <v>451</v>
      </c>
      <c r="B439">
        <f>HYPERLINK("https://www.suredividend.com/sure-analysis-research-database/","Denbury Inc.")</f>
        <v>0</v>
      </c>
      <c r="C439">
        <v>0.116221395558561</v>
      </c>
      <c r="D439">
        <v>0.568012668250197</v>
      </c>
      <c r="E439">
        <v>0.291003911342894</v>
      </c>
      <c r="F439">
        <v>0.292858075466771</v>
      </c>
      <c r="G439">
        <v>0.389754385964912</v>
      </c>
      <c r="H439">
        <v>4.804220398593201</v>
      </c>
      <c r="I439">
        <v>4.470718232044198</v>
      </c>
    </row>
    <row r="440" spans="1:9">
      <c r="A440" s="1" t="s">
        <v>452</v>
      </c>
      <c r="B440">
        <f>HYPERLINK("https://www.suredividend.com/sure-analysis-research-database/","Denny`s Corp.")</f>
        <v>0</v>
      </c>
      <c r="C440">
        <v>-0.070175438596491</v>
      </c>
      <c r="D440">
        <v>0.05298013245033</v>
      </c>
      <c r="E440">
        <v>-0.287528005974608</v>
      </c>
      <c r="F440">
        <v>-0.4037500000000001</v>
      </c>
      <c r="G440">
        <v>-0.396011396011396</v>
      </c>
      <c r="H440">
        <v>-0.09056244041944701</v>
      </c>
      <c r="I440">
        <v>-0.273972602739726</v>
      </c>
    </row>
    <row r="441" spans="1:9">
      <c r="A441" s="1" t="s">
        <v>453</v>
      </c>
      <c r="B441">
        <f>HYPERLINK("https://www.suredividend.com/sure-analysis-research-database/","Donnelley Financial Solutions Inc")</f>
        <v>0</v>
      </c>
      <c r="C441">
        <v>-0.07545320921117001</v>
      </c>
      <c r="D441">
        <v>0.237782879632666</v>
      </c>
      <c r="E441">
        <v>0.234947643979057</v>
      </c>
      <c r="F441">
        <v>-0.199406024607552</v>
      </c>
      <c r="G441">
        <v>0.027777777777777</v>
      </c>
      <c r="H441">
        <v>1.629965156794425</v>
      </c>
      <c r="I441">
        <v>0.7619047619047611</v>
      </c>
    </row>
    <row r="442" spans="1:9">
      <c r="A442" s="1" t="s">
        <v>454</v>
      </c>
      <c r="B442">
        <f>HYPERLINK("https://www.suredividend.com/sure-analysis-research-database/","Donegal Group Inc.")</f>
        <v>0</v>
      </c>
      <c r="C442">
        <v>-0.089480874316939</v>
      </c>
      <c r="D442">
        <v>-0.195592352997972</v>
      </c>
      <c r="E442">
        <v>0.025858088348468</v>
      </c>
      <c r="F442">
        <v>-0.034456782343524</v>
      </c>
      <c r="G442">
        <v>-0.07281175226754201</v>
      </c>
      <c r="H442">
        <v>2.2506132921E-05</v>
      </c>
      <c r="I442">
        <v>0.01361113223329</v>
      </c>
    </row>
    <row r="443" spans="1:9">
      <c r="A443" s="1" t="s">
        <v>455</v>
      </c>
      <c r="B443">
        <f>HYPERLINK("https://www.suredividend.com/sure-analysis-research-database/","Digi International, Inc.")</f>
        <v>0</v>
      </c>
      <c r="C443">
        <v>0.005930528099406001</v>
      </c>
      <c r="D443">
        <v>0.465240641711229</v>
      </c>
      <c r="E443">
        <v>0.7512291052114061</v>
      </c>
      <c r="F443">
        <v>0.449735449735449</v>
      </c>
      <c r="G443">
        <v>0.6865530303030301</v>
      </c>
      <c r="H443">
        <v>1.135491606714628</v>
      </c>
      <c r="I443">
        <v>2.180357142857143</v>
      </c>
    </row>
    <row r="444" spans="1:9">
      <c r="A444" s="1" t="s">
        <v>456</v>
      </c>
      <c r="B444">
        <f>HYPERLINK("https://www.suredividend.com/sure-analysis-DHC/","Diversified Healthcare Trust")</f>
        <v>0</v>
      </c>
      <c r="C444">
        <v>-0.329428571428571</v>
      </c>
      <c r="D444">
        <v>-0.469604519774011</v>
      </c>
      <c r="E444">
        <v>-0.6578592514304451</v>
      </c>
      <c r="F444">
        <v>-0.692287521714903</v>
      </c>
      <c r="G444">
        <v>-0.7299349864794891</v>
      </c>
      <c r="H444">
        <v>-0.729491427748163</v>
      </c>
      <c r="I444">
        <v>-0.939393156875403</v>
      </c>
    </row>
    <row r="445" spans="1:9">
      <c r="A445" s="1" t="s">
        <v>457</v>
      </c>
      <c r="B445">
        <f>HYPERLINK("https://www.suredividend.com/sure-analysis-research-database/","Diamond Hill Investment Group, Inc.")</f>
        <v>0</v>
      </c>
      <c r="C445">
        <v>-0.08382121143886501</v>
      </c>
      <c r="D445">
        <v>-0.068341114807852</v>
      </c>
      <c r="E445">
        <v>-0.103933278679227</v>
      </c>
      <c r="F445">
        <v>-0.141563667493191</v>
      </c>
      <c r="G445">
        <v>-0.09107054297854</v>
      </c>
      <c r="H445">
        <v>0.236449388384897</v>
      </c>
      <c r="I445">
        <v>-0.011822908950486</v>
      </c>
    </row>
    <row r="446" spans="1:9">
      <c r="A446" s="1" t="s">
        <v>458</v>
      </c>
      <c r="B446">
        <f>HYPERLINK("https://www.suredividend.com/sure-analysis-DHT/","DHT Holdings Inc")</f>
        <v>0</v>
      </c>
      <c r="C446">
        <v>-0.123674911660777</v>
      </c>
      <c r="D446">
        <v>0.223905640823175</v>
      </c>
      <c r="E446">
        <v>0.13705832008803</v>
      </c>
      <c r="F446">
        <v>0.4511976281501131</v>
      </c>
      <c r="G446">
        <v>0.175076995972518</v>
      </c>
      <c r="H446">
        <v>0.490026435952896</v>
      </c>
      <c r="I446">
        <v>1.552841065056272</v>
      </c>
    </row>
    <row r="447" spans="1:9">
      <c r="A447" s="1" t="s">
        <v>459</v>
      </c>
      <c r="B447">
        <f>HYPERLINK("https://www.suredividend.com/sure-analysis-research-database/","1stdibs.com Inc")</f>
        <v>0</v>
      </c>
      <c r="C447">
        <v>0.082758620689655</v>
      </c>
      <c r="D447">
        <v>0.034596375617792</v>
      </c>
      <c r="E447">
        <v>-0.22180916976456</v>
      </c>
      <c r="F447">
        <v>-0.4980015987210231</v>
      </c>
      <c r="G447">
        <v>-0.551107934238741</v>
      </c>
      <c r="H447">
        <v>-0.779649122807017</v>
      </c>
      <c r="I447">
        <v>-0.779649122807017</v>
      </c>
    </row>
    <row r="448" spans="1:9">
      <c r="A448" s="1" t="s">
        <v>460</v>
      </c>
      <c r="B448">
        <f>HYPERLINK("https://www.suredividend.com/sure-analysis-research-database/","DICE Therapeutics Inc")</f>
        <v>0</v>
      </c>
      <c r="C448">
        <v>0.08830022075055101</v>
      </c>
      <c r="D448">
        <v>0.35290889132821</v>
      </c>
      <c r="E448">
        <v>0.235588972431077</v>
      </c>
      <c r="F448">
        <v>-0.026076649545634</v>
      </c>
      <c r="G448">
        <v>-0.06946017365043401</v>
      </c>
      <c r="H448">
        <v>-0.331797235023041</v>
      </c>
      <c r="I448">
        <v>-0.331797235023041</v>
      </c>
    </row>
    <row r="449" spans="1:9">
      <c r="A449" s="1" t="s">
        <v>461</v>
      </c>
      <c r="B449">
        <f>HYPERLINK("https://www.suredividend.com/sure-analysis-research-database/","Dine Brands Global Inc")</f>
        <v>0</v>
      </c>
      <c r="C449">
        <v>-0.08860653214295701</v>
      </c>
      <c r="D449">
        <v>-0.030692504944763</v>
      </c>
      <c r="E449">
        <v>-0.07137164097599301</v>
      </c>
      <c r="F449">
        <v>-0.1231412357879</v>
      </c>
      <c r="G449">
        <v>-0.198606143158252</v>
      </c>
      <c r="H449">
        <v>0.103223282025743</v>
      </c>
      <c r="I449">
        <v>0.691855300003636</v>
      </c>
    </row>
    <row r="450" spans="1:9">
      <c r="A450" s="1" t="s">
        <v>462</v>
      </c>
      <c r="B450">
        <f>HYPERLINK("https://www.suredividend.com/sure-analysis-research-database/","Diodes, Inc.")</f>
        <v>0</v>
      </c>
      <c r="C450">
        <v>-0.030145090857867</v>
      </c>
      <c r="D450">
        <v>0.05614358030372701</v>
      </c>
      <c r="E450">
        <v>-0.05060672917815701</v>
      </c>
      <c r="F450">
        <v>-0.373007922775703</v>
      </c>
      <c r="G450">
        <v>-0.21716884593519</v>
      </c>
      <c r="H450">
        <v>0.08476445564833701</v>
      </c>
      <c r="I450">
        <v>1.17192429022082</v>
      </c>
    </row>
    <row r="451" spans="1:9">
      <c r="A451" s="1" t="s">
        <v>463</v>
      </c>
      <c r="B451">
        <f>HYPERLINK("https://www.suredividend.com/sure-analysis-research-database/","Daily Journal Corporation")</f>
        <v>0</v>
      </c>
      <c r="C451">
        <v>-0.023666402026388</v>
      </c>
      <c r="D451">
        <v>-0.050621277847217</v>
      </c>
      <c r="E451">
        <v>-0.109482758620689</v>
      </c>
      <c r="F451">
        <v>-0.276063128977097</v>
      </c>
      <c r="G451">
        <v>-0.208429118773946</v>
      </c>
      <c r="H451">
        <v>0.02561556791104</v>
      </c>
      <c r="I451">
        <v>0.122874907604678</v>
      </c>
    </row>
    <row r="452" spans="1:9">
      <c r="A452" s="1" t="s">
        <v>464</v>
      </c>
      <c r="B452">
        <f>HYPERLINK("https://www.suredividend.com/sure-analysis-research-database/","Delek US Holdings Inc")</f>
        <v>0</v>
      </c>
      <c r="C452">
        <v>-0.009137055837563001</v>
      </c>
      <c r="D452">
        <v>0.251881242304008</v>
      </c>
      <c r="E452">
        <v>0.31966791963006</v>
      </c>
      <c r="F452">
        <v>0.9834710743801651</v>
      </c>
      <c r="G452">
        <v>0.5278567738636301</v>
      </c>
      <c r="H452">
        <v>1.453144767378536</v>
      </c>
      <c r="I452">
        <v>0.265828257194858</v>
      </c>
    </row>
    <row r="453" spans="1:9">
      <c r="A453" s="1" t="s">
        <v>465</v>
      </c>
      <c r="B453">
        <f>HYPERLINK("https://www.suredividend.com/sure-analysis-research-database/","Duluth Holdings Inc")</f>
        <v>0</v>
      </c>
      <c r="C453">
        <v>-0.09090909090909001</v>
      </c>
      <c r="D453">
        <v>-0.305283757338551</v>
      </c>
      <c r="E453">
        <v>-0.423701298701298</v>
      </c>
      <c r="F453">
        <v>-0.5322793148880101</v>
      </c>
      <c r="G453">
        <v>-0.499647639182522</v>
      </c>
      <c r="H453">
        <v>-0.486994219653179</v>
      </c>
      <c r="I453">
        <v>-0.6507624200688631</v>
      </c>
    </row>
    <row r="454" spans="1:9">
      <c r="A454" s="1" t="s">
        <v>466</v>
      </c>
      <c r="B454">
        <f>HYPERLINK("https://www.suredividend.com/sure-analysis-research-database/","Deluxe Corp.")</f>
        <v>0</v>
      </c>
      <c r="C454">
        <v>-0.126975763962065</v>
      </c>
      <c r="D454">
        <v>-0.20840041467015</v>
      </c>
      <c r="E454">
        <v>-0.419099937948514</v>
      </c>
      <c r="F454">
        <v>-0.465905977533884</v>
      </c>
      <c r="G454">
        <v>-0.521612601480489</v>
      </c>
      <c r="H454">
        <v>-0.282491404619421</v>
      </c>
      <c r="I454">
        <v>-0.7350974320277911</v>
      </c>
    </row>
    <row r="455" spans="1:9">
      <c r="A455" s="1" t="s">
        <v>467</v>
      </c>
      <c r="B455">
        <f>HYPERLINK("https://www.suredividend.com/sure-analysis-research-database/","Desktop Metal Inc")</f>
        <v>0</v>
      </c>
      <c r="C455">
        <v>-0.302857142857142</v>
      </c>
      <c r="D455">
        <v>-0.027888446215139</v>
      </c>
      <c r="E455">
        <v>-0.45045045045045</v>
      </c>
      <c r="F455">
        <v>-0.507070707070707</v>
      </c>
      <c r="G455">
        <v>-0.6543909348441921</v>
      </c>
      <c r="H455">
        <v>-0.774283071230342</v>
      </c>
      <c r="I455">
        <v>-0.748453608247422</v>
      </c>
    </row>
    <row r="456" spans="1:9">
      <c r="A456" s="1" t="s">
        <v>468</v>
      </c>
      <c r="B456">
        <f>HYPERLINK("https://www.suredividend.com/sure-analysis-research-database/","Digimarc Corporation")</f>
        <v>0</v>
      </c>
      <c r="C456">
        <v>-0.233372228704784</v>
      </c>
      <c r="D456">
        <v>-0.19485294117647</v>
      </c>
      <c r="E456">
        <v>-0.520787746170678</v>
      </c>
      <c r="F456">
        <v>-0.6671732522796351</v>
      </c>
      <c r="G456">
        <v>-0.6134157105030891</v>
      </c>
      <c r="H456">
        <v>-0.5501540568298521</v>
      </c>
      <c r="I456">
        <v>-0.639999999999999</v>
      </c>
    </row>
    <row r="457" spans="1:9">
      <c r="A457" s="1" t="s">
        <v>469</v>
      </c>
      <c r="B457">
        <f>HYPERLINK("https://www.suredividend.com/sure-analysis-research-database/","Digital Media Solutions Inc")</f>
        <v>0</v>
      </c>
      <c r="C457">
        <v>-0.09090909090909001</v>
      </c>
      <c r="D457">
        <v>0.481481481481481</v>
      </c>
      <c r="E457">
        <v>-0.365079365079365</v>
      </c>
      <c r="F457">
        <v>-0.5815899581589951</v>
      </c>
      <c r="G457">
        <v>-0.7222222222222221</v>
      </c>
      <c r="H457">
        <v>-0.727148703956343</v>
      </c>
      <c r="I457">
        <v>-0.785066414477926</v>
      </c>
    </row>
    <row r="458" spans="1:9">
      <c r="A458" s="1" t="s">
        <v>470</v>
      </c>
      <c r="B458">
        <f>HYPERLINK("https://www.suredividend.com/sure-analysis-research-database/","DermTech Inc")</f>
        <v>0</v>
      </c>
      <c r="C458">
        <v>-0.403685092127303</v>
      </c>
      <c r="D458">
        <v>-0.441130298273155</v>
      </c>
      <c r="E458">
        <v>-0.7372693726937261</v>
      </c>
      <c r="F458">
        <v>-0.774683544303797</v>
      </c>
      <c r="G458">
        <v>-0.8895781637717121</v>
      </c>
      <c r="H458">
        <v>-0.704564315352697</v>
      </c>
      <c r="I458">
        <v>-0.635245901639344</v>
      </c>
    </row>
    <row r="459" spans="1:9">
      <c r="A459" s="1" t="s">
        <v>471</v>
      </c>
      <c r="B459">
        <f>HYPERLINK("https://www.suredividend.com/sure-analysis-research-database/","Codex DNA Inc")</f>
        <v>0</v>
      </c>
      <c r="C459">
        <v>-0.145833333333333</v>
      </c>
      <c r="D459">
        <v>-0.207729468599033</v>
      </c>
      <c r="E459">
        <v>-0.679060665362035</v>
      </c>
      <c r="F459">
        <v>-0.8481481481481481</v>
      </c>
      <c r="G459">
        <v>-0.8388998035363451</v>
      </c>
      <c r="H459">
        <v>-0.911351351351351</v>
      </c>
      <c r="I459">
        <v>-0.911351351351351</v>
      </c>
    </row>
    <row r="460" spans="1:9">
      <c r="A460" s="1" t="s">
        <v>472</v>
      </c>
      <c r="B460">
        <f>HYPERLINK("https://www.suredividend.com/sure-analysis-research-database/","Denali Therapeutics Inc")</f>
        <v>0</v>
      </c>
      <c r="C460">
        <v>-0.021690590111642</v>
      </c>
      <c r="D460">
        <v>-0.09979454065159901</v>
      </c>
      <c r="E460">
        <v>-0.000977198697068</v>
      </c>
      <c r="F460">
        <v>-0.312331838565022</v>
      </c>
      <c r="G460">
        <v>-0.397564329208406</v>
      </c>
      <c r="H460">
        <v>-0.262030798845043</v>
      </c>
      <c r="I460">
        <v>0.42983682983683</v>
      </c>
    </row>
    <row r="461" spans="1:9">
      <c r="A461" s="1" t="s">
        <v>473</v>
      </c>
      <c r="B461">
        <f>HYPERLINK("https://www.suredividend.com/sure-analysis-research-database/","Danimer Scientific Inc")</f>
        <v>0</v>
      </c>
      <c r="C461">
        <v>-0.418981481481481</v>
      </c>
      <c r="D461">
        <v>-0.507843137254901</v>
      </c>
      <c r="E461">
        <v>-0.524621212121212</v>
      </c>
      <c r="F461">
        <v>-0.7053990610328631</v>
      </c>
      <c r="G461">
        <v>-0.832778147901399</v>
      </c>
      <c r="H461">
        <v>-0.7551219512195121</v>
      </c>
      <c r="I461">
        <v>-0.7398963730569941</v>
      </c>
    </row>
    <row r="462" spans="1:9">
      <c r="A462" s="1" t="s">
        <v>474</v>
      </c>
      <c r="B462">
        <f>HYPERLINK("https://www.suredividend.com/sure-analysis-research-database/","NOW Inc")</f>
        <v>0</v>
      </c>
      <c r="C462">
        <v>-0.07327586206896501</v>
      </c>
      <c r="D462">
        <v>0.04571984435797601</v>
      </c>
      <c r="E462">
        <v>0.04673807205452701</v>
      </c>
      <c r="F462">
        <v>0.258782201405152</v>
      </c>
      <c r="G462">
        <v>0.214689265536723</v>
      </c>
      <c r="H462">
        <v>1.020676691729323</v>
      </c>
      <c r="I462">
        <v>-0.19112114371708</v>
      </c>
    </row>
    <row r="463" spans="1:9">
      <c r="A463" s="1" t="s">
        <v>475</v>
      </c>
      <c r="B463">
        <f>HYPERLINK("https://www.suredividend.com/sure-analysis-research-database/","Krispy Kreme Inc")</f>
        <v>0</v>
      </c>
      <c r="C463">
        <v>0.011244979919678</v>
      </c>
      <c r="D463">
        <v>-0.106851491891431</v>
      </c>
      <c r="E463">
        <v>-0.083283577742503</v>
      </c>
      <c r="F463">
        <v>-0.329773698808072</v>
      </c>
      <c r="G463">
        <v>-0.09950504963808501</v>
      </c>
      <c r="H463">
        <v>-0.394522326688628</v>
      </c>
      <c r="I463">
        <v>-0.394522326688628</v>
      </c>
    </row>
    <row r="464" spans="1:9">
      <c r="A464" s="1" t="s">
        <v>476</v>
      </c>
      <c r="B464">
        <f>HYPERLINK("https://www.suredividend.com/sure-analysis-DOC/","Physicians Realty Trust")</f>
        <v>0</v>
      </c>
      <c r="C464">
        <v>-0.187695151648013</v>
      </c>
      <c r="D464">
        <v>-0.16629167021393</v>
      </c>
      <c r="E464">
        <v>-0.200629700892076</v>
      </c>
      <c r="F464">
        <v>-0.231713262612847</v>
      </c>
      <c r="G464">
        <v>-0.204244031830238</v>
      </c>
      <c r="H464">
        <v>-0.164884966102004</v>
      </c>
      <c r="I464">
        <v>0.018066786963398</v>
      </c>
    </row>
    <row r="465" spans="1:9">
      <c r="A465" s="1" t="s">
        <v>477</v>
      </c>
      <c r="B465">
        <f>HYPERLINK("https://www.suredividend.com/sure-analysis-research-database/","DigitalOcean Holdings Inc")</f>
        <v>0</v>
      </c>
      <c r="C465">
        <v>-0.194192377495462</v>
      </c>
      <c r="D465">
        <v>-0.232829373650107</v>
      </c>
      <c r="E465">
        <v>-0.318364997121473</v>
      </c>
      <c r="F465">
        <v>-0.557823976098593</v>
      </c>
      <c r="G465">
        <v>-0.576335877862595</v>
      </c>
      <c r="H465">
        <v>-0.164235294117647</v>
      </c>
      <c r="I465">
        <v>-0.164235294117647</v>
      </c>
    </row>
    <row r="466" spans="1:9">
      <c r="A466" s="1" t="s">
        <v>478</v>
      </c>
      <c r="B466">
        <f>HYPERLINK("https://www.suredividend.com/sure-analysis-research-database/","Domo Inc.")</f>
        <v>0</v>
      </c>
      <c r="C466">
        <v>-0.288479262672811</v>
      </c>
      <c r="D466">
        <v>-0.5201988812927281</v>
      </c>
      <c r="E466">
        <v>-0.6775944873668821</v>
      </c>
      <c r="F466">
        <v>-0.6887096774193541</v>
      </c>
      <c r="G466">
        <v>-0.8091235010508091</v>
      </c>
      <c r="H466">
        <v>-0.626150121065375</v>
      </c>
      <c r="I466">
        <v>-0.4344322344322341</v>
      </c>
    </row>
    <row r="467" spans="1:9">
      <c r="A467" s="1" t="s">
        <v>479</v>
      </c>
      <c r="B467">
        <f>HYPERLINK("https://www.suredividend.com/sure-analysis-research-database/","Masonite International Corp")</f>
        <v>0</v>
      </c>
      <c r="C467">
        <v>-0.113884555382215</v>
      </c>
      <c r="D467">
        <v>-0.083302296710117</v>
      </c>
      <c r="E467">
        <v>-0.007926911191723</v>
      </c>
      <c r="F467">
        <v>-0.373972022043238</v>
      </c>
      <c r="G467">
        <v>-0.331280565115015</v>
      </c>
      <c r="H467">
        <v>-0.304380593499764</v>
      </c>
      <c r="I467">
        <v>0.09069423929098901</v>
      </c>
    </row>
    <row r="468" spans="1:9">
      <c r="A468" s="1" t="s">
        <v>480</v>
      </c>
      <c r="B468">
        <f>HYPERLINK("https://www.suredividend.com/sure-analysis-research-database/","Dorman Products Inc")</f>
        <v>0</v>
      </c>
      <c r="C468">
        <v>0.033465948981979</v>
      </c>
      <c r="D468">
        <v>-0.203822230235283</v>
      </c>
      <c r="E468">
        <v>-0.07363121460037701</v>
      </c>
      <c r="F468">
        <v>-0.218476241040615</v>
      </c>
      <c r="G468">
        <v>-0.092478421701602</v>
      </c>
      <c r="H468">
        <v>-0.049913941480206</v>
      </c>
      <c r="I468">
        <v>0.242893329580635</v>
      </c>
    </row>
    <row r="469" spans="1:9">
      <c r="A469" s="1" t="s">
        <v>481</v>
      </c>
      <c r="B469">
        <f>HYPERLINK("https://www.suredividend.com/sure-analysis-research-database/","Douglas Elliman Inc")</f>
        <v>0</v>
      </c>
      <c r="C469">
        <v>-0.165747810348055</v>
      </c>
      <c r="D469">
        <v>-0.215770637357479</v>
      </c>
      <c r="E469">
        <v>-0.403939056112969</v>
      </c>
      <c r="F469">
        <v>-0.64159628189659</v>
      </c>
      <c r="G469">
        <v>-0.64159628189659</v>
      </c>
      <c r="H469">
        <v>-0.64159628189659</v>
      </c>
      <c r="I469">
        <v>-0.64159628189659</v>
      </c>
    </row>
    <row r="470" spans="1:9">
      <c r="A470" s="1" t="s">
        <v>482</v>
      </c>
      <c r="B470">
        <f>HYPERLINK("https://www.suredividend.com/sure-analysis-research-database/","Diamondrock Hospitality Co.")</f>
        <v>0</v>
      </c>
      <c r="C470">
        <v>-0.143886231019344</v>
      </c>
      <c r="D470">
        <v>-0.054150489253359</v>
      </c>
      <c r="E470">
        <v>-0.125768585802124</v>
      </c>
      <c r="F470">
        <v>-0.183085055261893</v>
      </c>
      <c r="G470">
        <v>-0.140130190007037</v>
      </c>
      <c r="H470">
        <v>0.459227467811158</v>
      </c>
      <c r="I470">
        <v>-0.207988980716253</v>
      </c>
    </row>
    <row r="471" spans="1:9">
      <c r="A471" s="1" t="s">
        <v>483</v>
      </c>
      <c r="B471">
        <f>HYPERLINK("https://www.suredividend.com/sure-analysis-research-database/","DarioHealth Corp")</f>
        <v>0</v>
      </c>
      <c r="C471">
        <v>0.222737819025522</v>
      </c>
      <c r="D471">
        <v>-0.219259259259259</v>
      </c>
      <c r="E471">
        <v>-0.085069444444444</v>
      </c>
      <c r="F471">
        <v>-0.5936777178103311</v>
      </c>
      <c r="G471">
        <v>-0.587314017227877</v>
      </c>
      <c r="H471">
        <v>-0.6479625918503671</v>
      </c>
      <c r="I471">
        <v>-0.8605820105820101</v>
      </c>
    </row>
    <row r="472" spans="1:9">
      <c r="A472" s="1" t="s">
        <v>484</v>
      </c>
      <c r="B472">
        <f>HYPERLINK("https://www.suredividend.com/sure-analysis-research-database/","Dril-Quip, Inc.")</f>
        <v>0</v>
      </c>
      <c r="C472">
        <v>-0.086214255228339</v>
      </c>
      <c r="D472">
        <v>-0.16692607003891</v>
      </c>
      <c r="E472">
        <v>-0.40905327077008</v>
      </c>
      <c r="F472">
        <v>0.08790650406504001</v>
      </c>
      <c r="G472">
        <v>-0.199925261584454</v>
      </c>
      <c r="H472">
        <v>-0.132847306601863</v>
      </c>
      <c r="I472">
        <v>-0.5100686498855831</v>
      </c>
    </row>
    <row r="473" spans="1:9">
      <c r="A473" s="1" t="s">
        <v>485</v>
      </c>
      <c r="B473">
        <f>HYPERLINK("https://www.suredividend.com/sure-analysis-research-database/","Durect Corp")</f>
        <v>0</v>
      </c>
      <c r="C473">
        <v>-0.188897455666923</v>
      </c>
      <c r="D473">
        <v>0.08408903544929901</v>
      </c>
      <c r="E473">
        <v>-0.025925925925925</v>
      </c>
      <c r="F473">
        <v>-0.4664773303580481</v>
      </c>
      <c r="G473">
        <v>-0.568852459016393</v>
      </c>
      <c r="H473">
        <v>-0.7216931216931211</v>
      </c>
      <c r="I473">
        <v>-0.7421568627450981</v>
      </c>
    </row>
    <row r="474" spans="1:9">
      <c r="A474" s="1" t="s">
        <v>486</v>
      </c>
      <c r="B474">
        <f>HYPERLINK("https://www.suredividend.com/sure-analysis-research-database/","Drive Shack Inc")</f>
        <v>0</v>
      </c>
      <c r="C474">
        <v>-0.4954128440366971</v>
      </c>
      <c r="D474">
        <v>-0.612676056338028</v>
      </c>
      <c r="E474">
        <v>-0.6071428571428571</v>
      </c>
      <c r="F474">
        <v>-0.6153846153846151</v>
      </c>
      <c r="G474">
        <v>-0.8021582733812951</v>
      </c>
      <c r="H474">
        <v>-0.533898305084745</v>
      </c>
      <c r="I474">
        <v>-0.8517520215633421</v>
      </c>
    </row>
    <row r="475" spans="1:9">
      <c r="A475" s="1" t="s">
        <v>487</v>
      </c>
      <c r="B475">
        <f>HYPERLINK("https://www.suredividend.com/sure-analysis-research-database/","Design Therapeutics Inc")</f>
        <v>0</v>
      </c>
      <c r="C475">
        <v>-0.371242891957758</v>
      </c>
      <c r="D475">
        <v>-0.09208211143695001</v>
      </c>
      <c r="E475">
        <v>-0.020872865275142</v>
      </c>
      <c r="F475">
        <v>-0.276973376926669</v>
      </c>
      <c r="G475">
        <v>0.05521472392638001</v>
      </c>
      <c r="H475">
        <v>-0.626898047722342</v>
      </c>
      <c r="I475">
        <v>-0.626898047722342</v>
      </c>
    </row>
    <row r="476" spans="1:9">
      <c r="A476" s="1" t="s">
        <v>488</v>
      </c>
      <c r="B476">
        <f>HYPERLINK("https://www.suredividend.com/sure-analysis-research-database/","Daseke Inc")</f>
        <v>0</v>
      </c>
      <c r="C476">
        <v>-0.037795275590551</v>
      </c>
      <c r="D476">
        <v>-0.04828660436137001</v>
      </c>
      <c r="E476">
        <v>-0.174324324324324</v>
      </c>
      <c r="F476">
        <v>-0.391434262948207</v>
      </c>
      <c r="G476">
        <v>-0.383451059535822</v>
      </c>
      <c r="H476">
        <v>-0.05417956656346701</v>
      </c>
      <c r="I476">
        <v>-0.565124555160142</v>
      </c>
    </row>
    <row r="477" spans="1:9">
      <c r="A477" s="1" t="s">
        <v>489</v>
      </c>
      <c r="B477">
        <f>HYPERLINK("https://www.suredividend.com/sure-analysis-research-database/","Viant Technology Inc")</f>
        <v>0</v>
      </c>
      <c r="C477">
        <v>-0.117283950617284</v>
      </c>
      <c r="D477">
        <v>-0.184410646387832</v>
      </c>
      <c r="E477">
        <v>-0.332814930015552</v>
      </c>
      <c r="F477">
        <v>-0.557959814528593</v>
      </c>
      <c r="G477">
        <v>-0.665366614664586</v>
      </c>
      <c r="H477">
        <v>-0.9101005867560771</v>
      </c>
      <c r="I477">
        <v>-0.9101005867560771</v>
      </c>
    </row>
    <row r="478" spans="1:9">
      <c r="A478" s="1" t="s">
        <v>490</v>
      </c>
      <c r="B478">
        <f>HYPERLINK("https://www.suredividend.com/sure-analysis-research-database/","Solo Brands Inc")</f>
        <v>0</v>
      </c>
      <c r="C478">
        <v>-0.198744769874476</v>
      </c>
      <c r="D478">
        <v>-0.198744769874476</v>
      </c>
      <c r="E478">
        <v>-0.4673157162726</v>
      </c>
      <c r="F478">
        <v>-0.754958413307741</v>
      </c>
      <c r="G478">
        <v>-0.782509937535491</v>
      </c>
      <c r="H478">
        <v>-0.782509937535491</v>
      </c>
      <c r="I478">
        <v>-0.782509937535491</v>
      </c>
    </row>
    <row r="479" spans="1:9">
      <c r="A479" s="1" t="s">
        <v>491</v>
      </c>
      <c r="B479">
        <f>HYPERLINK("https://www.suredividend.com/sure-analysis-research-database/","Precision Biosciences Inc")</f>
        <v>0</v>
      </c>
      <c r="C479">
        <v>-0.193939393939393</v>
      </c>
      <c r="D479">
        <v>-0.235632183908046</v>
      </c>
      <c r="E479">
        <v>-0.536585365853658</v>
      </c>
      <c r="F479">
        <v>-0.8202702702702701</v>
      </c>
      <c r="G479">
        <v>-0.8694798822374871</v>
      </c>
      <c r="H479">
        <v>-0.80835734870317</v>
      </c>
      <c r="I479">
        <v>-0.923738532110091</v>
      </c>
    </row>
    <row r="480" spans="1:9">
      <c r="A480" s="1" t="s">
        <v>492</v>
      </c>
      <c r="B480">
        <f>HYPERLINK("https://www.suredividend.com/sure-analysis-research-database/","Dynavax Technologies Corp.")</f>
        <v>0</v>
      </c>
      <c r="C480">
        <v>-0.049785407725321</v>
      </c>
      <c r="D480">
        <v>-0.254043126684636</v>
      </c>
      <c r="E480">
        <v>0.052281368821292</v>
      </c>
      <c r="F480">
        <v>-0.21321961620469</v>
      </c>
      <c r="G480">
        <v>-0.361223312175418</v>
      </c>
      <c r="H480">
        <v>1.493243243243243</v>
      </c>
      <c r="I480">
        <v>-0.5218142548596111</v>
      </c>
    </row>
    <row r="481" spans="1:9">
      <c r="A481" s="1" t="s">
        <v>493</v>
      </c>
      <c r="B481">
        <f>HYPERLINK("https://www.suredividend.com/sure-analysis-DX/","Dynex Capital, Inc.")</f>
        <v>0</v>
      </c>
      <c r="C481">
        <v>-0.270679228632977</v>
      </c>
      <c r="D481">
        <v>-0.286960383163637</v>
      </c>
      <c r="E481">
        <v>-0.255387509854191</v>
      </c>
      <c r="F481">
        <v>-0.275563146530888</v>
      </c>
      <c r="G481">
        <v>-0.297016698980549</v>
      </c>
      <c r="H481">
        <v>-0.161707015110156</v>
      </c>
      <c r="I481">
        <v>-0.118915105432311</v>
      </c>
    </row>
    <row r="482" spans="1:9">
      <c r="A482" s="1" t="s">
        <v>494</v>
      </c>
      <c r="B482">
        <f>HYPERLINK("https://www.suredividend.com/sure-analysis-research-database/","DXP Enterprises, Inc.")</f>
        <v>0</v>
      </c>
      <c r="C482">
        <v>-0.05453177886423401</v>
      </c>
      <c r="D482">
        <v>-0.167825223435948</v>
      </c>
      <c r="E482">
        <v>0.002792181890705</v>
      </c>
      <c r="F482">
        <v>-0.020646669263732</v>
      </c>
      <c r="G482">
        <v>-0.201397712833545</v>
      </c>
      <c r="H482">
        <v>0.398998330550918</v>
      </c>
      <c r="I482">
        <v>-0.217797137523335</v>
      </c>
    </row>
    <row r="483" spans="1:9">
      <c r="A483" s="1" t="s">
        <v>495</v>
      </c>
      <c r="B483">
        <f>HYPERLINK("https://www.suredividend.com/sure-analysis-research-database/","Dycom Industries, Inc.")</f>
        <v>0</v>
      </c>
      <c r="C483">
        <v>-0.137180616740088</v>
      </c>
      <c r="D483">
        <v>0.024372384937238</v>
      </c>
      <c r="E483">
        <v>0.07250027379257401</v>
      </c>
      <c r="F483">
        <v>0.04447525597269601</v>
      </c>
      <c r="G483">
        <v>0.3980014275517481</v>
      </c>
      <c r="H483">
        <v>0.461859979101358</v>
      </c>
      <c r="I483">
        <v>0.157291420467974</v>
      </c>
    </row>
    <row r="484" spans="1:9">
      <c r="A484" s="1" t="s">
        <v>496</v>
      </c>
      <c r="B484">
        <f>HYPERLINK("https://www.suredividend.com/sure-analysis-research-database/","Dyne Therapeutics Inc")</f>
        <v>0</v>
      </c>
      <c r="C484">
        <v>-0.152917505030181</v>
      </c>
      <c r="D484">
        <v>0.400221729490022</v>
      </c>
      <c r="E484">
        <v>0.219111969111969</v>
      </c>
      <c r="F484">
        <v>0.06223717409587801</v>
      </c>
      <c r="G484">
        <v>-0.116783216783216</v>
      </c>
      <c r="H484">
        <v>-0.322424892703862</v>
      </c>
      <c r="I484">
        <v>-0.471548117154811</v>
      </c>
    </row>
    <row r="485" spans="1:9">
      <c r="A485" s="1" t="s">
        <v>497</v>
      </c>
      <c r="B485">
        <f>HYPERLINK("https://www.suredividend.com/sure-analysis-research-database/","DZS Inc")</f>
        <v>0</v>
      </c>
      <c r="C485">
        <v>-0.031888798037612</v>
      </c>
      <c r="D485">
        <v>-0.271384615384615</v>
      </c>
      <c r="E485">
        <v>-0.055821371610845</v>
      </c>
      <c r="F485">
        <v>-0.27003699136868</v>
      </c>
      <c r="G485">
        <v>-0.010033444816053</v>
      </c>
      <c r="H485">
        <v>0.106542056074766</v>
      </c>
      <c r="I485">
        <v>0.754074074074074</v>
      </c>
    </row>
    <row r="486" spans="1:9">
      <c r="A486" s="1" t="s">
        <v>498</v>
      </c>
      <c r="B486">
        <f>HYPERLINK("https://www.suredividend.com/sure-analysis-EAF/","GrafTech International Ltd.")</f>
        <v>0</v>
      </c>
      <c r="C486">
        <v>-0.285472972972972</v>
      </c>
      <c r="D486">
        <v>-0.3947545393409541</v>
      </c>
      <c r="E486">
        <v>-0.548766307884321</v>
      </c>
      <c r="F486">
        <v>-0.641078292449067</v>
      </c>
      <c r="G486">
        <v>-0.5952811504348571</v>
      </c>
      <c r="H486">
        <v>-0.416455137402052</v>
      </c>
      <c r="I486">
        <v>-0.6888516197369581</v>
      </c>
    </row>
    <row r="487" spans="1:9">
      <c r="A487" s="1" t="s">
        <v>499</v>
      </c>
      <c r="B487">
        <f>HYPERLINK("https://www.suredividend.com/sure-analysis-research-database/","Eargo Inc")</f>
        <v>0</v>
      </c>
      <c r="C487">
        <v>-0.59715909090909</v>
      </c>
      <c r="D487">
        <v>-0.208263539921831</v>
      </c>
      <c r="E487">
        <v>-0.843832599118942</v>
      </c>
      <c r="F487">
        <v>-0.8609803921568621</v>
      </c>
      <c r="G487">
        <v>-0.8917557251908391</v>
      </c>
      <c r="H487">
        <v>-0.978948931116389</v>
      </c>
      <c r="I487">
        <v>-0.978948931116389</v>
      </c>
    </row>
    <row r="488" spans="1:9">
      <c r="A488" s="1" t="s">
        <v>500</v>
      </c>
      <c r="B488">
        <f>HYPERLINK("https://www.suredividend.com/sure-analysis-research-database/","Brinker International, Inc.")</f>
        <v>0</v>
      </c>
      <c r="C488">
        <v>-0.154468802698145</v>
      </c>
      <c r="D488">
        <v>0.101010101010101</v>
      </c>
      <c r="E488">
        <v>-0.262213066509711</v>
      </c>
      <c r="F488">
        <v>-0.314840120251434</v>
      </c>
      <c r="G488">
        <v>-0.49127435064935</v>
      </c>
      <c r="H488">
        <v>-0.47009088987529</v>
      </c>
      <c r="I488">
        <v>-0.152548102275646</v>
      </c>
    </row>
    <row r="489" spans="1:9">
      <c r="A489" s="1" t="s">
        <v>501</v>
      </c>
      <c r="B489">
        <f>HYPERLINK("https://www.suredividend.com/sure-analysis-research-database/","Eventbrite Inc")</f>
        <v>0</v>
      </c>
      <c r="C489">
        <v>-0.209362808842652</v>
      </c>
      <c r="D489">
        <v>-0.4220532319391631</v>
      </c>
      <c r="E489">
        <v>-0.5522827687776141</v>
      </c>
      <c r="F489">
        <v>-0.65137614678899</v>
      </c>
      <c r="G489">
        <v>-0.692618806875632</v>
      </c>
      <c r="H489">
        <v>-0.419847328244274</v>
      </c>
      <c r="I489">
        <v>-0.8334246575342461</v>
      </c>
    </row>
    <row r="490" spans="1:9">
      <c r="A490" s="1" t="s">
        <v>502</v>
      </c>
      <c r="B490">
        <f>HYPERLINK("https://www.suredividend.com/sure-analysis-research-database/","Eastern Bankshares Inc.")</f>
        <v>0</v>
      </c>
      <c r="C490">
        <v>-0.009842519685039</v>
      </c>
      <c r="D490">
        <v>0.053894222962532</v>
      </c>
      <c r="E490">
        <v>0.008440425830509002</v>
      </c>
      <c r="F490">
        <v>0.012744880906839</v>
      </c>
      <c r="G490">
        <v>-0.04065761680661</v>
      </c>
      <c r="H490">
        <v>0.706965300755069</v>
      </c>
      <c r="I490">
        <v>0.706965300755069</v>
      </c>
    </row>
    <row r="491" spans="1:9">
      <c r="A491" s="1" t="s">
        <v>503</v>
      </c>
      <c r="B491">
        <f>HYPERLINK("https://www.suredividend.com/sure-analysis-research-database/","EBET Inc")</f>
        <v>0</v>
      </c>
      <c r="C491">
        <v>-0.545190476190476</v>
      </c>
      <c r="D491">
        <v>-0.620992063492063</v>
      </c>
      <c r="E491">
        <v>-0.838118644067796</v>
      </c>
      <c r="F491">
        <v>-0.9535457198443581</v>
      </c>
      <c r="G491">
        <v>-0.9580360281195081</v>
      </c>
      <c r="H491">
        <v>-0.973775398132894</v>
      </c>
      <c r="I491">
        <v>-0.973775398132894</v>
      </c>
    </row>
    <row r="492" spans="1:9">
      <c r="A492" s="1" t="s">
        <v>504</v>
      </c>
      <c r="B492">
        <f>HYPERLINK("https://www.suredividend.com/sure-analysis-research-database/","Ennis Inc.")</f>
        <v>0</v>
      </c>
      <c r="C492">
        <v>-0.015123498841894</v>
      </c>
      <c r="D492">
        <v>0.028382127287692</v>
      </c>
      <c r="E492">
        <v>0.144582741909032</v>
      </c>
      <c r="F492">
        <v>0.09032925357696901</v>
      </c>
      <c r="G492">
        <v>0.126672752777715</v>
      </c>
      <c r="H492">
        <v>0.258362139713013</v>
      </c>
      <c r="I492">
        <v>0.275498950738264</v>
      </c>
    </row>
    <row r="493" spans="1:9">
      <c r="A493" s="1" t="s">
        <v>505</v>
      </c>
      <c r="B493">
        <f>HYPERLINK("https://www.suredividend.com/sure-analysis-research-database/","Ebix Inc.")</f>
        <v>0</v>
      </c>
      <c r="C493">
        <v>-0.225602027883396</v>
      </c>
      <c r="D493">
        <v>-0.016446221125211</v>
      </c>
      <c r="E493">
        <v>-0.42714095520261</v>
      </c>
      <c r="F493">
        <v>-0.392116416504719</v>
      </c>
      <c r="G493">
        <v>-0.34383624902005</v>
      </c>
      <c r="H493">
        <v>-0.126010833079035</v>
      </c>
      <c r="I493">
        <v>-0.71643033282694</v>
      </c>
    </row>
    <row r="494" spans="1:9">
      <c r="A494" s="1" t="s">
        <v>506</v>
      </c>
      <c r="B494">
        <f>HYPERLINK("https://www.suredividend.com/sure-analysis-research-database/","Emergent Biosolutions Inc")</f>
        <v>0</v>
      </c>
      <c r="C494">
        <v>-0.214998005584363</v>
      </c>
      <c r="D494">
        <v>-0.4158504007123771</v>
      </c>
      <c r="E494">
        <v>-0.5272639923132351</v>
      </c>
      <c r="F494">
        <v>-0.5472739820565901</v>
      </c>
      <c r="G494">
        <v>-0.6248570339306131</v>
      </c>
      <c r="H494">
        <v>-0.8202903844397771</v>
      </c>
      <c r="I494">
        <v>-0.5119047619047611</v>
      </c>
    </row>
    <row r="495" spans="1:9">
      <c r="A495" s="1" t="s">
        <v>507</v>
      </c>
      <c r="B495">
        <f>HYPERLINK("https://www.suredividend.com/sure-analysis-EBTC/","Enterprise Bancorp, Inc.")</f>
        <v>0</v>
      </c>
      <c r="C495">
        <v>-0.076199435559736</v>
      </c>
      <c r="D495">
        <v>-0.078807891107963</v>
      </c>
      <c r="E495">
        <v>-0.208104962380953</v>
      </c>
      <c r="F495">
        <v>-0.332661313157626</v>
      </c>
      <c r="G495">
        <v>-0.205443762086236</v>
      </c>
      <c r="H495">
        <v>0.3337075803121941</v>
      </c>
      <c r="I495">
        <v>-0.129813202263785</v>
      </c>
    </row>
    <row r="496" spans="1:9">
      <c r="A496" s="1" t="s">
        <v>508</v>
      </c>
      <c r="B496">
        <f>HYPERLINK("https://www.suredividend.com/sure-analysis-research-database/","US Ecology Inc.")</f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 s="1" t="s">
        <v>509</v>
      </c>
      <c r="B497">
        <f>HYPERLINK("https://www.suredividend.com/sure-analysis-research-database/","ChannelAdvisor Corp")</f>
        <v>0</v>
      </c>
      <c r="C497">
        <v>-0.010034904013961</v>
      </c>
      <c r="D497">
        <v>0.5341446923597021</v>
      </c>
      <c r="E497">
        <v>0.45076726342711</v>
      </c>
      <c r="F497">
        <v>-0.08063209076175</v>
      </c>
      <c r="G497">
        <v>-0.132645259938837</v>
      </c>
      <c r="H497">
        <v>0.36358173076923</v>
      </c>
      <c r="I497">
        <v>0.898744769874477</v>
      </c>
    </row>
    <row r="498" spans="1:9">
      <c r="A498" s="1" t="s">
        <v>510</v>
      </c>
      <c r="B498">
        <f>HYPERLINK("https://www.suredividend.com/sure-analysis-research-database/","Encore Capital Group, Inc.")</f>
        <v>0</v>
      </c>
      <c r="C498">
        <v>-0.119733079122974</v>
      </c>
      <c r="D498">
        <v>-0.231140716069941</v>
      </c>
      <c r="E498">
        <v>-0.249878147847278</v>
      </c>
      <c r="F498">
        <v>-0.256641442601835</v>
      </c>
      <c r="G498">
        <v>-0.084110295576274</v>
      </c>
      <c r="H498">
        <v>0.20078023407022</v>
      </c>
      <c r="I498">
        <v>0.026</v>
      </c>
    </row>
    <row r="499" spans="1:9">
      <c r="A499" s="1" t="s">
        <v>511</v>
      </c>
      <c r="B499">
        <f>HYPERLINK("https://www.suredividend.com/sure-analysis-research-database/","Ecovyst Inc")</f>
        <v>0</v>
      </c>
      <c r="C499">
        <v>-0.07505285412262101</v>
      </c>
      <c r="D499">
        <v>-0.100719424460431</v>
      </c>
      <c r="E499">
        <v>-0.217352415026833</v>
      </c>
      <c r="F499">
        <v>-0.1455078125</v>
      </c>
      <c r="G499">
        <v>-0.243079584775086</v>
      </c>
      <c r="H499">
        <v>-0.07142099119176401</v>
      </c>
      <c r="I499">
        <v>-0.400446752819613</v>
      </c>
    </row>
    <row r="500" spans="1:9">
      <c r="A500" s="1" t="s">
        <v>512</v>
      </c>
      <c r="B500">
        <f>HYPERLINK("https://www.suredividend.com/sure-analysis-research-database/","Editas Medicine Inc")</f>
        <v>0</v>
      </c>
      <c r="C500">
        <v>-0.254579911560328</v>
      </c>
      <c r="D500">
        <v>-0.213333333333333</v>
      </c>
      <c r="E500">
        <v>-0.356948228882833</v>
      </c>
      <c r="F500">
        <v>-0.555555555555555</v>
      </c>
      <c r="G500">
        <v>-0.668632406627351</v>
      </c>
      <c r="H500">
        <v>-0.643396796615291</v>
      </c>
      <c r="I500">
        <v>-0.53193177310591</v>
      </c>
    </row>
    <row r="501" spans="1:9">
      <c r="A501" s="1" t="s">
        <v>513</v>
      </c>
      <c r="B501">
        <f>HYPERLINK("https://www.suredividend.com/sure-analysis-research-database/","Emerald Holding Inc")</f>
        <v>0</v>
      </c>
      <c r="C501">
        <v>-0.090379008746355</v>
      </c>
      <c r="D501">
        <v>-0.167999999999999</v>
      </c>
      <c r="E501">
        <v>-0.021943573667711</v>
      </c>
      <c r="F501">
        <v>-0.214105793450881</v>
      </c>
      <c r="G501">
        <v>-0.3375796178343941</v>
      </c>
      <c r="H501">
        <v>0.110320284697508</v>
      </c>
      <c r="I501">
        <v>-0.8580624616154491</v>
      </c>
    </row>
    <row r="502" spans="1:9">
      <c r="A502" s="1" t="s">
        <v>514</v>
      </c>
      <c r="B502">
        <f>HYPERLINK("https://www.suredividend.com/sure-analysis-EFC/","Ellington Financial Inc")</f>
        <v>0</v>
      </c>
      <c r="C502">
        <v>-0.240191217403792</v>
      </c>
      <c r="D502">
        <v>-0.25656279066655</v>
      </c>
      <c r="E502">
        <v>-0.308899090558479</v>
      </c>
      <c r="F502">
        <v>-0.291372734114885</v>
      </c>
      <c r="G502">
        <v>-0.336664935188999</v>
      </c>
      <c r="H502">
        <v>0.040301134873965</v>
      </c>
      <c r="I502">
        <v>0.017343369411936</v>
      </c>
    </row>
    <row r="503" spans="1:9">
      <c r="A503" s="1" t="s">
        <v>515</v>
      </c>
      <c r="B503">
        <f>HYPERLINK("https://www.suredividend.com/sure-analysis-research-database/","Enterprise Financial Services Corp.")</f>
        <v>0</v>
      </c>
      <c r="C503">
        <v>-0.01595113212027</v>
      </c>
      <c r="D503">
        <v>0.10350002420487</v>
      </c>
      <c r="E503">
        <v>0.034305173340835</v>
      </c>
      <c r="F503">
        <v>-0.017689771821335</v>
      </c>
      <c r="G503">
        <v>-0.027743122866057</v>
      </c>
      <c r="H503">
        <v>0.5668551200316191</v>
      </c>
      <c r="I503">
        <v>0.140445671859834</v>
      </c>
    </row>
    <row r="504" spans="1:9">
      <c r="A504" s="1" t="s">
        <v>516</v>
      </c>
      <c r="B504">
        <f>HYPERLINK("https://www.suredividend.com/sure-analysis-research-database/","eGain Corp")</f>
        <v>0</v>
      </c>
      <c r="C504">
        <v>-0.019815059445178</v>
      </c>
      <c r="D504">
        <v>-0.272549019607843</v>
      </c>
      <c r="E504">
        <v>-0.354221061792863</v>
      </c>
      <c r="F504">
        <v>-0.256513026052104</v>
      </c>
      <c r="G504">
        <v>-0.3006597549481621</v>
      </c>
      <c r="H504">
        <v>-0.562757807896287</v>
      </c>
      <c r="I504">
        <v>1.150724637681159</v>
      </c>
    </row>
    <row r="505" spans="1:9">
      <c r="A505" s="1" t="s">
        <v>517</v>
      </c>
      <c r="B505">
        <f>HYPERLINK("https://www.suredividend.com/sure-analysis-research-database/","Eagle Bancorp Inc (MD)")</f>
        <v>0</v>
      </c>
      <c r="C505">
        <v>-0.06633782967586001</v>
      </c>
      <c r="D505">
        <v>-0.048557341944473</v>
      </c>
      <c r="E505">
        <v>-0.157846948330164</v>
      </c>
      <c r="F505">
        <v>-0.216159923094935</v>
      </c>
      <c r="G505">
        <v>-0.221102318672724</v>
      </c>
      <c r="H505">
        <v>0.56955652624565</v>
      </c>
      <c r="I505">
        <v>-0.295820317133931</v>
      </c>
    </row>
    <row r="506" spans="1:9">
      <c r="A506" s="1" t="s">
        <v>518</v>
      </c>
      <c r="B506">
        <f>HYPERLINK("https://www.suredividend.com/sure-analysis-research-database/","8X8 Inc.")</f>
        <v>0</v>
      </c>
      <c r="C506">
        <v>-0.361522198731501</v>
      </c>
      <c r="D506">
        <v>-0.454873646209386</v>
      </c>
      <c r="E506">
        <v>-0.7407725321888411</v>
      </c>
      <c r="F506">
        <v>-0.81980906921241</v>
      </c>
      <c r="G506">
        <v>-0.8694336359706011</v>
      </c>
      <c r="H506">
        <v>-0.8168587022437841</v>
      </c>
      <c r="I506">
        <v>-0.7819494584837541</v>
      </c>
    </row>
    <row r="507" spans="1:9">
      <c r="A507" s="1" t="s">
        <v>519</v>
      </c>
      <c r="B507">
        <f>HYPERLINK("https://www.suredividend.com/sure-analysis-research-database/","Eagle Bulk Shipping Inc")</f>
        <v>0</v>
      </c>
      <c r="C507">
        <v>0.06080770995869601</v>
      </c>
      <c r="D507">
        <v>0.07568163732566401</v>
      </c>
      <c r="E507">
        <v>-0.25289316032819</v>
      </c>
      <c r="F507">
        <v>0.128180098834726</v>
      </c>
      <c r="G507">
        <v>0.125181628118101</v>
      </c>
      <c r="H507">
        <v>2.12702922077922</v>
      </c>
      <c r="I507">
        <v>0.671559978016256</v>
      </c>
    </row>
    <row r="508" spans="1:9">
      <c r="A508" s="1" t="s">
        <v>520</v>
      </c>
      <c r="B508">
        <f>HYPERLINK("https://www.suredividend.com/sure-analysis-EGP/","Eastgroup Properties, Inc.")</f>
        <v>0</v>
      </c>
      <c r="C508">
        <v>-0.181055863942364</v>
      </c>
      <c r="D508">
        <v>-0.102503451038612</v>
      </c>
      <c r="E508">
        <v>-0.315328872208217</v>
      </c>
      <c r="F508">
        <v>-0.378461921829082</v>
      </c>
      <c r="G508">
        <v>-0.175346009187268</v>
      </c>
      <c r="H508">
        <v>-0.000498021248426</v>
      </c>
      <c r="I508">
        <v>0.7468569046068501</v>
      </c>
    </row>
    <row r="509" spans="1:9">
      <c r="A509" s="1" t="s">
        <v>521</v>
      </c>
      <c r="B509">
        <f>HYPERLINK("https://www.suredividend.com/sure-analysis-research-database/","Eagle Pharmaceuticals Inc")</f>
        <v>0</v>
      </c>
      <c r="C509">
        <v>-0.165122963909294</v>
      </c>
      <c r="D509">
        <v>-0.431120783460282</v>
      </c>
      <c r="E509">
        <v>-0.4909444985394351</v>
      </c>
      <c r="F509">
        <v>-0.486645718774548</v>
      </c>
      <c r="G509">
        <v>-0.5317929428622601</v>
      </c>
      <c r="H509">
        <v>-0.436030204962243</v>
      </c>
      <c r="I509">
        <v>-0.5227314223114841</v>
      </c>
    </row>
    <row r="510" spans="1:9">
      <c r="A510" s="1" t="s">
        <v>522</v>
      </c>
      <c r="B510">
        <f>HYPERLINK("https://www.suredividend.com/sure-analysis-research-database/","eHealth Inc")</f>
        <v>0</v>
      </c>
      <c r="C510">
        <v>-0.388349514563106</v>
      </c>
      <c r="D510">
        <v>-0.6383467278989661</v>
      </c>
      <c r="E510">
        <v>-0.708333333333333</v>
      </c>
      <c r="F510">
        <v>-0.8764705882352941</v>
      </c>
      <c r="G510">
        <v>-0.9289900811541931</v>
      </c>
      <c r="H510">
        <v>-0.9633891213389121</v>
      </c>
      <c r="I510">
        <v>-0.8672566371681411</v>
      </c>
    </row>
    <row r="511" spans="1:9">
      <c r="A511" s="1" t="s">
        <v>523</v>
      </c>
      <c r="B511">
        <f>HYPERLINK("https://www.suredividend.com/sure-analysis-research-database/","Employers Holdings Inc")</f>
        <v>0</v>
      </c>
      <c r="C511">
        <v>-0.128004179728317</v>
      </c>
      <c r="D511">
        <v>-0.181788544549383</v>
      </c>
      <c r="E511">
        <v>-0.162518566095299</v>
      </c>
      <c r="F511">
        <v>-0.177368515739173</v>
      </c>
      <c r="G511">
        <v>-0.168675658982686</v>
      </c>
      <c r="H511">
        <v>0.120085365403522</v>
      </c>
      <c r="I511">
        <v>-0.188495994748805</v>
      </c>
    </row>
    <row r="512" spans="1:9">
      <c r="A512" s="1" t="s">
        <v>524</v>
      </c>
      <c r="B512">
        <f>HYPERLINK("https://www.suredividend.com/sure-analysis-research-database/","Eiger BioPharmaceuticals Inc")</f>
        <v>0</v>
      </c>
      <c r="C512">
        <v>-0.171385991058122</v>
      </c>
      <c r="D512">
        <v>-0.354239256678281</v>
      </c>
      <c r="E512">
        <v>-0.3519813519813521</v>
      </c>
      <c r="F512">
        <v>0.07129094412331301</v>
      </c>
      <c r="G512">
        <v>-0.139318885448916</v>
      </c>
      <c r="H512">
        <v>-0.316953316953317</v>
      </c>
      <c r="I512">
        <v>-0.581954887218045</v>
      </c>
    </row>
    <row r="513" spans="1:9">
      <c r="A513" s="1" t="s">
        <v>525</v>
      </c>
      <c r="B513">
        <f>HYPERLINK("https://www.suredividend.com/sure-analysis-research-database/","e.l.f. Beauty Inc")</f>
        <v>0</v>
      </c>
      <c r="C513">
        <v>-0.03575102880658401</v>
      </c>
      <c r="D513">
        <v>0.186392405063291</v>
      </c>
      <c r="E513">
        <v>0.4480494399382</v>
      </c>
      <c r="F513">
        <v>0.128876844323998</v>
      </c>
      <c r="G513">
        <v>0.264844804318488</v>
      </c>
      <c r="H513">
        <v>0.732439926062846</v>
      </c>
      <c r="I513">
        <v>0.7759355755566081</v>
      </c>
    </row>
    <row r="514" spans="1:9">
      <c r="A514" s="1" t="s">
        <v>526</v>
      </c>
      <c r="B514">
        <f>HYPERLINK("https://www.suredividend.com/sure-analysis-research-database/","Topgolf Callaway Brands Corp")</f>
        <v>0</v>
      </c>
      <c r="C514">
        <v>-0.065293602103418</v>
      </c>
      <c r="D514">
        <v>-0.04478280340349301</v>
      </c>
      <c r="E514">
        <v>-0.06937172774869101</v>
      </c>
      <c r="F514">
        <v>-0.222667638483965</v>
      </c>
      <c r="G514">
        <v>-0.233836206896551</v>
      </c>
      <c r="H514">
        <v>0.043542074363992</v>
      </c>
      <c r="I514">
        <v>0.548738428026865</v>
      </c>
    </row>
    <row r="515" spans="1:9">
      <c r="A515" s="1" t="s">
        <v>527</v>
      </c>
      <c r="B515">
        <f>HYPERLINK("https://www.suredividend.com/sure-analysis-research-database/","Eliem Therapeutics Inc")</f>
        <v>0</v>
      </c>
      <c r="C515">
        <v>0.04838709677419301</v>
      </c>
      <c r="D515">
        <v>-0.12398921832884</v>
      </c>
      <c r="E515">
        <v>-0.6107784431137721</v>
      </c>
      <c r="F515">
        <v>-0.689292543021032</v>
      </c>
      <c r="G515">
        <v>-0.76802284082798</v>
      </c>
      <c r="H515">
        <v>-0.7955974842767291</v>
      </c>
      <c r="I515">
        <v>-0.7955974842767291</v>
      </c>
    </row>
    <row r="516" spans="1:9">
      <c r="A516" s="1" t="s">
        <v>528</v>
      </c>
      <c r="B516">
        <f>HYPERLINK("https://www.suredividend.com/sure-analysis-research-database/","Emcor Group, Inc.")</f>
        <v>0</v>
      </c>
      <c r="C516">
        <v>-0.001064962726304</v>
      </c>
      <c r="D516">
        <v>0.189342925584625</v>
      </c>
      <c r="E516">
        <v>0.07809324083103501</v>
      </c>
      <c r="F516">
        <v>-0.039471922237713</v>
      </c>
      <c r="G516">
        <v>0.036280878518714</v>
      </c>
      <c r="H516">
        <v>0.719967219912915</v>
      </c>
      <c r="I516">
        <v>0.784614033675552</v>
      </c>
    </row>
    <row r="517" spans="1:9">
      <c r="A517" s="1" t="s">
        <v>529</v>
      </c>
      <c r="B517">
        <f>HYPERLINK("https://www.suredividend.com/sure-analysis-research-database/","Emcore Corp.")</f>
        <v>0</v>
      </c>
      <c r="C517">
        <v>-0.337777777777777</v>
      </c>
      <c r="D517">
        <v>-0.5358255451713391</v>
      </c>
      <c r="E517">
        <v>-0.5895316804407711</v>
      </c>
      <c r="F517">
        <v>-0.786532951289398</v>
      </c>
      <c r="G517">
        <v>-0.7918994413407821</v>
      </c>
      <c r="H517">
        <v>-0.5525525525525521</v>
      </c>
      <c r="I517">
        <v>-0.826744186046511</v>
      </c>
    </row>
    <row r="518" spans="1:9">
      <c r="A518" s="1" t="s">
        <v>530</v>
      </c>
      <c r="B518">
        <f>HYPERLINK("https://www.suredividend.com/sure-analysis-research-database/","Endo International plc")</f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>
      <c r="A519" s="1" t="s">
        <v>531</v>
      </c>
      <c r="B519">
        <f>HYPERLINK("https://www.suredividend.com/sure-analysis-research-database/","Enfusion Inc")</f>
        <v>0</v>
      </c>
      <c r="C519">
        <v>-0.16031746031746</v>
      </c>
      <c r="D519">
        <v>-0.058718861209964</v>
      </c>
      <c r="E519">
        <v>-0.035551504102096</v>
      </c>
      <c r="F519">
        <v>-0.4947468958930271</v>
      </c>
      <c r="G519">
        <v>-0.465926299848561</v>
      </c>
      <c r="H519">
        <v>-0.465926299848561</v>
      </c>
      <c r="I519">
        <v>-0.465926299848561</v>
      </c>
    </row>
    <row r="520" spans="1:9">
      <c r="A520" s="1" t="s">
        <v>532</v>
      </c>
      <c r="B520">
        <f>HYPERLINK("https://www.suredividend.com/sure-analysis-research-database/","Energizer Holdings Inc")</f>
        <v>0</v>
      </c>
      <c r="C520">
        <v>-0.09221598877980301</v>
      </c>
      <c r="D520">
        <v>-0.082867800476809</v>
      </c>
      <c r="E520">
        <v>-0.10687797103649</v>
      </c>
      <c r="F520">
        <v>-0.3361470374055111</v>
      </c>
      <c r="G520">
        <v>-0.311573489330585</v>
      </c>
      <c r="H520">
        <v>-0.335733143811593</v>
      </c>
      <c r="I520">
        <v>-0.358828307643539</v>
      </c>
    </row>
    <row r="521" spans="1:9">
      <c r="A521" s="1" t="s">
        <v>533</v>
      </c>
      <c r="B521">
        <f>HYPERLINK("https://www.suredividend.com/sure-analysis-research-database/","Enersys")</f>
        <v>0</v>
      </c>
      <c r="C521">
        <v>-0.068728369113823</v>
      </c>
      <c r="D521">
        <v>0.017379605041042</v>
      </c>
      <c r="E521">
        <v>-0.135294873442117</v>
      </c>
      <c r="F521">
        <v>-0.227671717764188</v>
      </c>
      <c r="G521">
        <v>-0.192264300402467</v>
      </c>
      <c r="H521">
        <v>-0.157062955164433</v>
      </c>
      <c r="I521">
        <v>-0.07158327470374801</v>
      </c>
    </row>
    <row r="522" spans="1:9">
      <c r="A522" s="1" t="s">
        <v>534</v>
      </c>
      <c r="B522">
        <f>HYPERLINK("https://www.suredividend.com/sure-analysis-research-database/","Ensign Group Inc")</f>
        <v>0</v>
      </c>
      <c r="C522">
        <v>-0.019306048187014</v>
      </c>
      <c r="D522">
        <v>0.138263408390993</v>
      </c>
      <c r="E522">
        <v>-0.017222208153671</v>
      </c>
      <c r="F522">
        <v>0.01899182109282</v>
      </c>
      <c r="G522">
        <v>0.180663013221268</v>
      </c>
      <c r="H522">
        <v>0.442541630622837</v>
      </c>
      <c r="I522">
        <v>3.315325014025564</v>
      </c>
    </row>
    <row r="523" spans="1:9">
      <c r="A523" s="1" t="s">
        <v>535</v>
      </c>
      <c r="B523">
        <f>HYPERLINK("https://www.suredividend.com/sure-analysis-research-database/","Enanta Pharmaceuticals Inc")</f>
        <v>0</v>
      </c>
      <c r="C523">
        <v>-0.242816989381636</v>
      </c>
      <c r="D523">
        <v>-0.080932524639878</v>
      </c>
      <c r="E523">
        <v>-0.35139111824505</v>
      </c>
      <c r="F523">
        <v>-0.351564589462423</v>
      </c>
      <c r="G523">
        <v>-0.308273894436519</v>
      </c>
      <c r="H523">
        <v>0.050476603119584</v>
      </c>
      <c r="I523">
        <v>0.002273666804464</v>
      </c>
    </row>
    <row r="524" spans="1:9">
      <c r="A524" s="1" t="s">
        <v>536</v>
      </c>
      <c r="B524">
        <f>HYPERLINK("https://www.suredividend.com/sure-analysis-research-database/","Envestnet Inc.")</f>
        <v>0</v>
      </c>
      <c r="C524">
        <v>-0.183661971830986</v>
      </c>
      <c r="D524">
        <v>-0.169151376146789</v>
      </c>
      <c r="E524">
        <v>-0.4678011753183151</v>
      </c>
      <c r="F524">
        <v>-0.452104865137383</v>
      </c>
      <c r="G524">
        <v>-0.466494845360824</v>
      </c>
      <c r="H524">
        <v>-0.482684755444484</v>
      </c>
      <c r="I524">
        <v>-0.195</v>
      </c>
    </row>
    <row r="525" spans="1:9">
      <c r="A525" s="1" t="s">
        <v>537</v>
      </c>
      <c r="B525">
        <f>HYPERLINK("https://www.suredividend.com/sure-analysis-research-database/","Enova International Inc.")</f>
        <v>0</v>
      </c>
      <c r="C525">
        <v>-0.149496080627099</v>
      </c>
      <c r="D525">
        <v>0.023929895517357</v>
      </c>
      <c r="E525">
        <v>-0.183552808384842</v>
      </c>
      <c r="F525">
        <v>-0.25830078125</v>
      </c>
      <c r="G525">
        <v>-0.157515252357182</v>
      </c>
      <c r="H525">
        <v>0.5831162063574771</v>
      </c>
      <c r="I525">
        <v>1.117073170731707</v>
      </c>
    </row>
    <row r="526" spans="1:9">
      <c r="A526" s="1" t="s">
        <v>538</v>
      </c>
      <c r="B526">
        <f>HYPERLINK("https://www.suredividend.com/sure-analysis-research-database/","Evolus Inc")</f>
        <v>0</v>
      </c>
      <c r="C526">
        <v>-0.18050193050193</v>
      </c>
      <c r="D526">
        <v>-0.362612612612612</v>
      </c>
      <c r="E526">
        <v>-0.244661921708185</v>
      </c>
      <c r="F526">
        <v>0.304147465437788</v>
      </c>
      <c r="G526">
        <v>0.244868035190615</v>
      </c>
      <c r="H526">
        <v>0.8700440528634361</v>
      </c>
      <c r="I526">
        <v>-0.261739130434782</v>
      </c>
    </row>
    <row r="527" spans="1:9">
      <c r="A527" s="1" t="s">
        <v>539</v>
      </c>
      <c r="B527">
        <f>HYPERLINK("https://www.suredividend.com/sure-analysis-research-database/","Eos Energy Enterprises Inc")</f>
        <v>0</v>
      </c>
      <c r="C527">
        <v>-0.351931330472103</v>
      </c>
      <c r="D527">
        <v>-0.151685393258427</v>
      </c>
      <c r="E527">
        <v>-0.581717451523545</v>
      </c>
      <c r="F527">
        <v>-0.7992021276595741</v>
      </c>
      <c r="G527">
        <v>-0.8626023657870791</v>
      </c>
      <c r="H527">
        <v>-0.849601593625498</v>
      </c>
      <c r="I527">
        <v>-0.844329896907216</v>
      </c>
    </row>
    <row r="528" spans="1:9">
      <c r="A528" s="1" t="s">
        <v>540</v>
      </c>
      <c r="B528">
        <f>HYPERLINK("https://www.suredividend.com/sure-analysis-research-database/","Enerpac Tool Group Corp")</f>
        <v>0</v>
      </c>
      <c r="C528">
        <v>0.048412919752512</v>
      </c>
      <c r="D528">
        <v>0.06099409397376201</v>
      </c>
      <c r="E528">
        <v>0.002429533648053</v>
      </c>
      <c r="F528">
        <v>0.002919830639941</v>
      </c>
      <c r="G528">
        <v>-0.012660321104264</v>
      </c>
      <c r="H528">
        <v>0.035936272058298</v>
      </c>
      <c r="I528">
        <v>-0.21983389764067</v>
      </c>
    </row>
    <row r="529" spans="1:9">
      <c r="A529" s="1" t="s">
        <v>541</v>
      </c>
      <c r="B529">
        <f>HYPERLINK("https://www.suredividend.com/sure-analysis-research-database/","Bottomline Technologies (Delaware) Inc")</f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>
      <c r="A530" s="1" t="s">
        <v>542</v>
      </c>
      <c r="B530">
        <f>HYPERLINK("https://www.suredividend.com/sure-analysis-research-database/","Edgewell Personal Care Co")</f>
        <v>0</v>
      </c>
      <c r="C530">
        <v>-0.014750762970498</v>
      </c>
      <c r="D530">
        <v>0.08660896101783301</v>
      </c>
      <c r="E530">
        <v>0.05257723835684901</v>
      </c>
      <c r="F530">
        <v>-0.142083315801478</v>
      </c>
      <c r="G530">
        <v>0.110531415368562</v>
      </c>
      <c r="H530">
        <v>0.344182092607692</v>
      </c>
      <c r="I530">
        <v>-0.446021406968347</v>
      </c>
    </row>
    <row r="531" spans="1:9">
      <c r="A531" s="1" t="s">
        <v>543</v>
      </c>
      <c r="B531">
        <f>HYPERLINK("https://www.suredividend.com/sure-analysis-EPRT/","Essential Properties Realty Trust Inc")</f>
        <v>0</v>
      </c>
      <c r="C531">
        <v>-0.13121454224289</v>
      </c>
      <c r="D531">
        <v>-0.109028480588558</v>
      </c>
      <c r="E531">
        <v>-0.224460078599844</v>
      </c>
      <c r="F531">
        <v>-0.306833870225494</v>
      </c>
      <c r="G531">
        <v>-0.280078564040521</v>
      </c>
      <c r="H531">
        <v>0.08697490598907301</v>
      </c>
      <c r="I531">
        <v>0.7274128229939431</v>
      </c>
    </row>
    <row r="532" spans="1:9">
      <c r="A532" s="1" t="s">
        <v>544</v>
      </c>
      <c r="B532">
        <f>HYPERLINK("https://www.suredividend.com/sure-analysis-research-database/","Epizyme Inc")</f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>
      <c r="A533" s="1" t="s">
        <v>545</v>
      </c>
      <c r="B533">
        <f>HYPERLINK("https://www.suredividend.com/sure-analysis-research-database/","Equity Bancshares Inc")</f>
        <v>0</v>
      </c>
      <c r="C533">
        <v>0.022566761938234</v>
      </c>
      <c r="D533">
        <v>0.066995114795388</v>
      </c>
      <c r="E533">
        <v>0.03871608763745901</v>
      </c>
      <c r="F533">
        <v>-0.083356863677569</v>
      </c>
      <c r="G533">
        <v>-0.104162854130175</v>
      </c>
      <c r="H533">
        <v>0.8903777077637881</v>
      </c>
      <c r="I533">
        <v>-0.146699131204692</v>
      </c>
    </row>
    <row r="534" spans="1:9">
      <c r="A534" s="1" t="s">
        <v>546</v>
      </c>
      <c r="B534">
        <f>HYPERLINK("https://www.suredividend.com/sure-analysis-research-database/","Equity Commonwealth")</f>
        <v>0</v>
      </c>
      <c r="C534">
        <v>-0.065824519867291</v>
      </c>
      <c r="D534">
        <v>-0.086985644476244</v>
      </c>
      <c r="E534">
        <v>-0.077208314741587</v>
      </c>
      <c r="F534">
        <v>-0.035166744421743</v>
      </c>
      <c r="G534">
        <v>-0.05558617431698201</v>
      </c>
      <c r="H534">
        <v>-0.09097109598799501</v>
      </c>
      <c r="I534">
        <v>0.119014856449844</v>
      </c>
    </row>
    <row r="535" spans="1:9">
      <c r="A535" s="1" t="s">
        <v>547</v>
      </c>
      <c r="B535">
        <f>HYPERLINK("https://www.suredividend.com/sure-analysis-research-database/","Erasca Inc")</f>
        <v>0</v>
      </c>
      <c r="C535">
        <v>-0.148235294117647</v>
      </c>
      <c r="D535">
        <v>0.08059701492537301</v>
      </c>
      <c r="E535">
        <v>-0.103960396039603</v>
      </c>
      <c r="F535">
        <v>-0.535301668806161</v>
      </c>
      <c r="G535">
        <v>-0.583189407023603</v>
      </c>
      <c r="H535">
        <v>-0.584624211130235</v>
      </c>
      <c r="I535">
        <v>-0.584624211130235</v>
      </c>
    </row>
    <row r="536" spans="1:9">
      <c r="A536" s="1" t="s">
        <v>548</v>
      </c>
      <c r="B536">
        <f>HYPERLINK("https://www.suredividend.com/sure-analysis-research-database/","Energy Recovery Inc")</f>
        <v>0</v>
      </c>
      <c r="C536">
        <v>-0.197540353574173</v>
      </c>
      <c r="D536">
        <v>0.044522261130565</v>
      </c>
      <c r="E536">
        <v>-0.001434720229555</v>
      </c>
      <c r="F536">
        <v>-0.028385295486272</v>
      </c>
      <c r="G536">
        <v>0.07684373388344401</v>
      </c>
      <c r="H536">
        <v>1.361990950226244</v>
      </c>
      <c r="I536">
        <v>1.690721649484535</v>
      </c>
    </row>
    <row r="537" spans="1:9">
      <c r="A537" s="1" t="s">
        <v>549</v>
      </c>
      <c r="B537">
        <f>HYPERLINK("https://www.suredividend.com/sure-analysis-research-database/","Escalade, Inc.")</f>
        <v>0</v>
      </c>
      <c r="C537">
        <v>-0.042649727767695</v>
      </c>
      <c r="D537">
        <v>-0.176405380297743</v>
      </c>
      <c r="E537">
        <v>-0.148025518856496</v>
      </c>
      <c r="F537">
        <v>-0.307447402107197</v>
      </c>
      <c r="G537">
        <v>-0.4332588422364521</v>
      </c>
      <c r="H537">
        <v>-0.432515007423026</v>
      </c>
      <c r="I537">
        <v>-0.07137638743409401</v>
      </c>
    </row>
    <row r="538" spans="1:9">
      <c r="A538" s="1" t="s">
        <v>550</v>
      </c>
      <c r="B538">
        <f>HYPERLINK("https://www.suredividend.com/sure-analysis-research-database/","Esco Technologies, Inc.")</f>
        <v>0</v>
      </c>
      <c r="C538">
        <v>-0.07903100672146601</v>
      </c>
      <c r="D538">
        <v>0.141428725481973</v>
      </c>
      <c r="E538">
        <v>0.178378812993246</v>
      </c>
      <c r="F538">
        <v>-0.149482781518297</v>
      </c>
      <c r="G538">
        <v>-0.030918789697551</v>
      </c>
      <c r="H538">
        <v>-0.105230777900926</v>
      </c>
      <c r="I538">
        <v>0.284501705702304</v>
      </c>
    </row>
    <row r="539" spans="1:9">
      <c r="A539" s="1" t="s">
        <v>551</v>
      </c>
      <c r="B539">
        <f>HYPERLINK("https://www.suredividend.com/sure-analysis-research-database/","Enstar Group Limited")</f>
        <v>0</v>
      </c>
      <c r="C539">
        <v>-0.063215427451789</v>
      </c>
      <c r="D539">
        <v>-0.09849650176152401</v>
      </c>
      <c r="E539">
        <v>-0.297203202970871</v>
      </c>
      <c r="F539">
        <v>-0.266206228038289</v>
      </c>
      <c r="G539">
        <v>-0.251143811054779</v>
      </c>
      <c r="H539">
        <v>0.06569685593618001</v>
      </c>
      <c r="I539">
        <v>-0.206637554585152</v>
      </c>
    </row>
    <row r="540" spans="1:9">
      <c r="A540" s="1" t="s">
        <v>552</v>
      </c>
      <c r="B540">
        <f>HYPERLINK("https://www.suredividend.com/sure-analysis-research-database/","Engagesmart Inc")</f>
        <v>0</v>
      </c>
      <c r="C540">
        <v>-0.04600938967136101</v>
      </c>
      <c r="D540">
        <v>0.148022598870056</v>
      </c>
      <c r="E540">
        <v>-0.009263773768893001</v>
      </c>
      <c r="F540">
        <v>-0.157545605306799</v>
      </c>
      <c r="G540">
        <v>-0.392707710699342</v>
      </c>
      <c r="H540">
        <v>-0.404454865181711</v>
      </c>
      <c r="I540">
        <v>-0.404454865181711</v>
      </c>
    </row>
    <row r="541" spans="1:9">
      <c r="A541" s="1" t="s">
        <v>553</v>
      </c>
      <c r="B541">
        <f>HYPERLINK("https://www.suredividend.com/sure-analysis-research-database/","Essent Group Ltd")</f>
        <v>0</v>
      </c>
      <c r="C541">
        <v>-0.134464110127826</v>
      </c>
      <c r="D541">
        <v>-0.09108978876420701</v>
      </c>
      <c r="E541">
        <v>-0.120444848569629</v>
      </c>
      <c r="F541">
        <v>-0.218496832703721</v>
      </c>
      <c r="G541">
        <v>-0.22145692142707</v>
      </c>
      <c r="H541">
        <v>-0.151533553100842</v>
      </c>
      <c r="I541">
        <v>-0.07192636562042</v>
      </c>
    </row>
    <row r="542" spans="1:9">
      <c r="A542" s="1" t="s">
        <v>554</v>
      </c>
      <c r="B542">
        <f>HYPERLINK("https://www.suredividend.com/sure-analysis-research-database/","Esperion Therapeutics Inc.")</f>
        <v>0</v>
      </c>
      <c r="C542">
        <v>0.04070556309362201</v>
      </c>
      <c r="D542">
        <v>0.149925037481259</v>
      </c>
      <c r="E542">
        <v>0.3696428571428571</v>
      </c>
      <c r="F542">
        <v>0.534</v>
      </c>
      <c r="G542">
        <v>-0.2509765625</v>
      </c>
      <c r="H542">
        <v>-0.7731440402247851</v>
      </c>
      <c r="I542">
        <v>-0.8621495327102801</v>
      </c>
    </row>
    <row r="543" spans="1:9">
      <c r="A543" s="1" t="s">
        <v>555</v>
      </c>
      <c r="B543">
        <f>HYPERLINK("https://www.suredividend.com/sure-analysis-ESRT/","Empire State Realty Trust Inc")</f>
        <v>0</v>
      </c>
      <c r="C543">
        <v>-0.133646560386735</v>
      </c>
      <c r="D543">
        <v>-0.085448889780823</v>
      </c>
      <c r="E543">
        <v>-0.271839119815562</v>
      </c>
      <c r="F543">
        <v>-0.273166397047096</v>
      </c>
      <c r="G543">
        <v>-0.3749387675124911</v>
      </c>
      <c r="H543">
        <v>-0.020210086614656</v>
      </c>
      <c r="I543">
        <v>-0.655237632055334</v>
      </c>
    </row>
    <row r="544" spans="1:9">
      <c r="A544" s="1" t="s">
        <v>556</v>
      </c>
      <c r="B544">
        <f>HYPERLINK("https://www.suredividend.com/sure-analysis-research-database/","Earthstone Energy Inc")</f>
        <v>0</v>
      </c>
      <c r="C544">
        <v>-0.019849418206707</v>
      </c>
      <c r="D544">
        <v>0.202350965575146</v>
      </c>
      <c r="E544">
        <v>0.019217081850533</v>
      </c>
      <c r="F544">
        <v>0.308957952468007</v>
      </c>
      <c r="G544">
        <v>0.249563699825479</v>
      </c>
      <c r="H544">
        <v>3.920962199312715</v>
      </c>
      <c r="I544">
        <v>0.344600938967136</v>
      </c>
    </row>
    <row r="545" spans="1:9">
      <c r="A545" s="1" t="s">
        <v>557</v>
      </c>
      <c r="B545">
        <f>HYPERLINK("https://www.suredividend.com/sure-analysis-ETD/","Ethan Allen Interiors, Inc.")</f>
        <v>0</v>
      </c>
      <c r="C545">
        <v>-0.076796714579055</v>
      </c>
      <c r="D545">
        <v>0.08086276697021801</v>
      </c>
      <c r="E545">
        <v>-0.07325338357333301</v>
      </c>
      <c r="F545">
        <v>-0.107430009886562</v>
      </c>
      <c r="G545">
        <v>-0.012527893451408</v>
      </c>
      <c r="H545">
        <v>0.531783833139134</v>
      </c>
      <c r="I545">
        <v>-0.107844460142713</v>
      </c>
    </row>
    <row r="546" spans="1:9">
      <c r="A546" s="1" t="s">
        <v>558</v>
      </c>
      <c r="B546">
        <f>HYPERLINK("https://www.suredividend.com/sure-analysis-research-database/","89bio Inc")</f>
        <v>0</v>
      </c>
      <c r="C546">
        <v>0.635983263598326</v>
      </c>
      <c r="D546">
        <v>1.190476190476191</v>
      </c>
      <c r="E546">
        <v>1.348348348348348</v>
      </c>
      <c r="F546">
        <v>-0.40168324407039</v>
      </c>
      <c r="G546">
        <v>-0.5717415115005471</v>
      </c>
      <c r="H546">
        <v>-0.6755186721991701</v>
      </c>
      <c r="I546">
        <v>-0.6240384615384611</v>
      </c>
    </row>
    <row r="547" spans="1:9">
      <c r="A547" s="1" t="s">
        <v>559</v>
      </c>
      <c r="B547">
        <f>HYPERLINK("https://www.suredividend.com/sure-analysis-research-database/","Equitrans Midstream Corporation")</f>
        <v>0</v>
      </c>
      <c r="C547">
        <v>-0.176906779661016</v>
      </c>
      <c r="D547">
        <v>0.180581934209526</v>
      </c>
      <c r="E547">
        <v>-0.025754194147002</v>
      </c>
      <c r="F547">
        <v>-0.204056545789797</v>
      </c>
      <c r="G547">
        <v>-0.22671178343949</v>
      </c>
      <c r="H547">
        <v>0.07740092625974</v>
      </c>
      <c r="I547">
        <v>-0.601538461538461</v>
      </c>
    </row>
    <row r="548" spans="1:9">
      <c r="A548" s="1" t="s">
        <v>560</v>
      </c>
      <c r="B548">
        <f>HYPERLINK("https://www.suredividend.com/sure-analysis-research-database/","E2open Parent Holdings Inc")</f>
        <v>0</v>
      </c>
      <c r="C548">
        <v>-0.155898876404494</v>
      </c>
      <c r="D548">
        <v>-0.234394904458598</v>
      </c>
      <c r="E548">
        <v>-0.223514211886304</v>
      </c>
      <c r="F548">
        <v>-0.466252220248667</v>
      </c>
      <c r="G548">
        <v>-0.470950704225352</v>
      </c>
      <c r="H548">
        <v>-0.421559191530317</v>
      </c>
      <c r="I548">
        <v>-0.392929292929293</v>
      </c>
    </row>
    <row r="549" spans="1:9">
      <c r="A549" s="1" t="s">
        <v>561</v>
      </c>
      <c r="B549">
        <f>HYPERLINK("https://www.suredividend.com/sure-analysis-research-database/","Entravision Communications Corp.")</f>
        <v>0</v>
      </c>
      <c r="C549">
        <v>-0.183803475802759</v>
      </c>
      <c r="D549">
        <v>-0.103942652329749</v>
      </c>
      <c r="E549">
        <v>-0.281886012540722</v>
      </c>
      <c r="F549">
        <v>-0.386328598584065</v>
      </c>
      <c r="G549">
        <v>-0.426284562856823</v>
      </c>
      <c r="H549">
        <v>1.426753477360165</v>
      </c>
      <c r="I549">
        <v>-0.08005744031592101</v>
      </c>
    </row>
    <row r="550" spans="1:9">
      <c r="A550" s="1" t="s">
        <v>562</v>
      </c>
      <c r="B550">
        <f>HYPERLINK("https://www.suredividend.com/sure-analysis-research-database/","EverCommerce Inc")</f>
        <v>0</v>
      </c>
      <c r="C550">
        <v>-0.251015434606011</v>
      </c>
      <c r="D550">
        <v>-0.049484536082474</v>
      </c>
      <c r="E550">
        <v>-0.291858678955453</v>
      </c>
      <c r="F550">
        <v>-0.414603174603174</v>
      </c>
      <c r="G550">
        <v>-0.459237536656891</v>
      </c>
      <c r="H550">
        <v>-0.476136363636363</v>
      </c>
      <c r="I550">
        <v>-0.476136363636363</v>
      </c>
    </row>
    <row r="551" spans="1:9">
      <c r="A551" s="1" t="s">
        <v>563</v>
      </c>
      <c r="B551">
        <f>HYPERLINK("https://www.suredividend.com/sure-analysis-research-database/","EverQuote Inc")</f>
        <v>0</v>
      </c>
      <c r="C551">
        <v>-0.24004550625711</v>
      </c>
      <c r="D551">
        <v>-0.279395900755124</v>
      </c>
      <c r="E551">
        <v>-0.5853507138423341</v>
      </c>
      <c r="F551">
        <v>-0.573435504469987</v>
      </c>
      <c r="G551">
        <v>-0.6240855374226221</v>
      </c>
      <c r="H551">
        <v>-0.827568404749612</v>
      </c>
      <c r="I551">
        <v>-0.6288888888888881</v>
      </c>
    </row>
    <row r="552" spans="1:9">
      <c r="A552" s="1" t="s">
        <v>564</v>
      </c>
      <c r="B552">
        <f>HYPERLINK("https://www.suredividend.com/sure-analysis-research-database/","Evolent Health Inc")</f>
        <v>0</v>
      </c>
      <c r="C552">
        <v>-0.174418604651162</v>
      </c>
      <c r="D552">
        <v>-0.024200776815058</v>
      </c>
      <c r="E552">
        <v>0.085410435360584</v>
      </c>
      <c r="F552">
        <v>0.180339718106252</v>
      </c>
      <c r="G552">
        <v>-0.04250952799765401</v>
      </c>
      <c r="H552">
        <v>1.913470115967885</v>
      </c>
      <c r="I552">
        <v>0.9674698795180711</v>
      </c>
    </row>
    <row r="553" spans="1:9">
      <c r="A553" s="1" t="s">
        <v>565</v>
      </c>
      <c r="B553">
        <f>HYPERLINK("https://www.suredividend.com/sure-analysis-research-database/","EVI Industries Inc")</f>
        <v>0</v>
      </c>
      <c r="C553">
        <v>0.05274566473988401</v>
      </c>
      <c r="D553">
        <v>0.442574257425742</v>
      </c>
      <c r="E553">
        <v>-0.203825136612021</v>
      </c>
      <c r="F553">
        <v>-0.5334614153057951</v>
      </c>
      <c r="G553">
        <v>-0.497586206896551</v>
      </c>
      <c r="H553">
        <v>-0.4597701149425281</v>
      </c>
      <c r="I553">
        <v>-0.355563517022057</v>
      </c>
    </row>
    <row r="554" spans="1:9">
      <c r="A554" s="1" t="s">
        <v>566</v>
      </c>
      <c r="B554">
        <f>HYPERLINK("https://www.suredividend.com/sure-analysis-research-database/","Evelo Biosciences Inc")</f>
        <v>0</v>
      </c>
      <c r="C554">
        <v>0</v>
      </c>
      <c r="D554">
        <v>-0.05982905982905901</v>
      </c>
      <c r="E554">
        <v>-0.351032448377581</v>
      </c>
      <c r="F554">
        <v>-0.6375617792421741</v>
      </c>
      <c r="G554">
        <v>-0.6802325581395341</v>
      </c>
      <c r="H554">
        <v>-0.611307420494699</v>
      </c>
      <c r="I554">
        <v>-0.8646153846153841</v>
      </c>
    </row>
    <row r="555" spans="1:9">
      <c r="A555" s="1" t="s">
        <v>567</v>
      </c>
      <c r="B555">
        <f>HYPERLINK("https://www.suredividend.com/sure-analysis-research-database/","EVO Payments Inc")</f>
        <v>0</v>
      </c>
      <c r="C555">
        <v>-0.001193317422434</v>
      </c>
      <c r="D555">
        <v>0.297171638899651</v>
      </c>
      <c r="E555">
        <v>0.510148849797022</v>
      </c>
      <c r="F555">
        <v>0.307812499999999</v>
      </c>
      <c r="G555">
        <v>0.486678507992895</v>
      </c>
      <c r="H555">
        <v>0.315003927729772</v>
      </c>
      <c r="I555">
        <v>0.7602523659305991</v>
      </c>
    </row>
    <row r="556" spans="1:9">
      <c r="A556" s="1" t="s">
        <v>568</v>
      </c>
      <c r="B556">
        <f>HYPERLINK("https://www.suredividend.com/sure-analysis-research-database/","Everi Holdings Inc")</f>
        <v>0</v>
      </c>
      <c r="C556">
        <v>-0.067349137931034</v>
      </c>
      <c r="D556">
        <v>-0.009725400457666001</v>
      </c>
      <c r="E556">
        <v>-0.09086134453781501</v>
      </c>
      <c r="F556">
        <v>-0.189227166276346</v>
      </c>
      <c r="G556">
        <v>-0.290864399836132</v>
      </c>
      <c r="H556">
        <v>1.026932084309133</v>
      </c>
      <c r="I556">
        <v>1.070574162679425</v>
      </c>
    </row>
    <row r="557" spans="1:9">
      <c r="A557" s="1" t="s">
        <v>569</v>
      </c>
      <c r="B557">
        <f>HYPERLINK("https://www.suredividend.com/sure-analysis-research-database/","Evertec Inc")</f>
        <v>0</v>
      </c>
      <c r="C557">
        <v>-0.070190641247833</v>
      </c>
      <c r="D557">
        <v>-0.124405662122316</v>
      </c>
      <c r="E557">
        <v>-0.202376763617081</v>
      </c>
      <c r="F557">
        <v>-0.353518394299554</v>
      </c>
      <c r="G557">
        <v>-0.318282894597513</v>
      </c>
      <c r="H557">
        <v>-0.113833448038541</v>
      </c>
      <c r="I557">
        <v>1.06393783180734</v>
      </c>
    </row>
    <row r="558" spans="1:9">
      <c r="A558" s="1" t="s">
        <v>570</v>
      </c>
      <c r="B558">
        <f>HYPERLINK("https://www.suredividend.com/sure-analysis-research-database/","European Wax Center Inc")</f>
        <v>0</v>
      </c>
      <c r="C558">
        <v>-0.18129218900675</v>
      </c>
      <c r="D558">
        <v>-0.048739495798319</v>
      </c>
      <c r="E558">
        <v>-0.355379995520308</v>
      </c>
      <c r="F558">
        <v>-0.374495783924762</v>
      </c>
      <c r="G558">
        <v>-0.315394353817744</v>
      </c>
      <c r="H558">
        <v>-0.112477067097361</v>
      </c>
      <c r="I558">
        <v>-0.112477067097361</v>
      </c>
    </row>
    <row r="559" spans="1:9">
      <c r="A559" s="1" t="s">
        <v>571</v>
      </c>
      <c r="B559">
        <f>HYPERLINK("https://www.suredividend.com/sure-analysis-research-database/","Edgewise Therapeutics Inc")</f>
        <v>0</v>
      </c>
      <c r="C559">
        <v>-0.184380032206119</v>
      </c>
      <c r="D559">
        <v>-0.008806262230919001</v>
      </c>
      <c r="E559">
        <v>0.09989142236699201</v>
      </c>
      <c r="F559">
        <v>-0.337041884816753</v>
      </c>
      <c r="G559">
        <v>-0.446448087431694</v>
      </c>
      <c r="H559">
        <v>-0.662333333333333</v>
      </c>
      <c r="I559">
        <v>-0.662333333333333</v>
      </c>
    </row>
    <row r="560" spans="1:9">
      <c r="A560" s="1" t="s">
        <v>572</v>
      </c>
      <c r="B560">
        <f>HYPERLINK("https://www.suredividend.com/sure-analysis-research-database/","Exlservice Hldgs Inc")</f>
        <v>0</v>
      </c>
      <c r="C560">
        <v>-0.122542372881355</v>
      </c>
      <c r="D560">
        <v>0.017692156477294</v>
      </c>
      <c r="E560">
        <v>0.072064609650031</v>
      </c>
      <c r="F560">
        <v>0.07280513918629501</v>
      </c>
      <c r="G560">
        <v>0.233500119132714</v>
      </c>
      <c r="H560">
        <v>1.216181506849315</v>
      </c>
      <c r="I560">
        <v>1.604561462351165</v>
      </c>
    </row>
    <row r="561" spans="1:9">
      <c r="A561" s="1" t="s">
        <v>573</v>
      </c>
      <c r="B561">
        <f>HYPERLINK("https://www.suredividend.com/sure-analysis-research-database/","eXp World Holdings Inc")</f>
        <v>0</v>
      </c>
      <c r="C561">
        <v>-0.06102941176470501</v>
      </c>
      <c r="D561">
        <v>-0.117685669474135</v>
      </c>
      <c r="E561">
        <v>-0.240179453310009</v>
      </c>
      <c r="F561">
        <v>-0.618224760082513</v>
      </c>
      <c r="G561">
        <v>-0.6893389999975671</v>
      </c>
      <c r="H561">
        <v>-0.781600388570021</v>
      </c>
      <c r="I561">
        <v>31.20680958385876</v>
      </c>
    </row>
    <row r="562" spans="1:9">
      <c r="A562" s="1" t="s">
        <v>574</v>
      </c>
      <c r="B562">
        <f>HYPERLINK("https://www.suredividend.com/sure-analysis-EXPO/","Exponent Inc.")</f>
        <v>0</v>
      </c>
      <c r="C562">
        <v>-0.059546514091968</v>
      </c>
      <c r="D562">
        <v>-0.050725645166465</v>
      </c>
      <c r="E562">
        <v>-0.164810638031602</v>
      </c>
      <c r="F562">
        <v>-0.233736982550164</v>
      </c>
      <c r="G562">
        <v>-0.217705451471914</v>
      </c>
      <c r="H562">
        <v>0.22116651945529</v>
      </c>
      <c r="I562">
        <v>1.467035777021768</v>
      </c>
    </row>
    <row r="563" spans="1:9">
      <c r="A563" s="1" t="s">
        <v>575</v>
      </c>
      <c r="B563">
        <f>HYPERLINK("https://www.suredividend.com/sure-analysis-research-database/","Extreme Networks Inc.")</f>
        <v>0</v>
      </c>
      <c r="C563">
        <v>-0.041490857946554</v>
      </c>
      <c r="D563">
        <v>0.454642475987193</v>
      </c>
      <c r="E563">
        <v>0.16296928327645</v>
      </c>
      <c r="F563">
        <v>-0.131847133757961</v>
      </c>
      <c r="G563">
        <v>0.320736434108527</v>
      </c>
      <c r="H563">
        <v>1.956616052060737</v>
      </c>
      <c r="I563">
        <v>0.104538087520259</v>
      </c>
    </row>
    <row r="564" spans="1:9">
      <c r="A564" s="1" t="s">
        <v>576</v>
      </c>
      <c r="B564">
        <f>HYPERLINK("https://www.suredividend.com/sure-analysis-research-database/","National Vision Holdings Inc")</f>
        <v>0</v>
      </c>
      <c r="C564">
        <v>-0.09861450692746501</v>
      </c>
      <c r="D564">
        <v>0.110813525276196</v>
      </c>
      <c r="E564">
        <v>-0.230697890099698</v>
      </c>
      <c r="F564">
        <v>-0.308605959574911</v>
      </c>
      <c r="G564">
        <v>-0.4204366812227071</v>
      </c>
      <c r="H564">
        <v>-0.171949089094085</v>
      </c>
      <c r="I564">
        <v>0.192238591448077</v>
      </c>
    </row>
    <row r="565" spans="1:9">
      <c r="A565" s="1" t="s">
        <v>577</v>
      </c>
      <c r="B565">
        <f>HYPERLINK("https://www.suredividend.com/sure-analysis-research-database/","EyePoint Pharmaceuticals Inc")</f>
        <v>0</v>
      </c>
      <c r="C565">
        <v>-0.329241071428571</v>
      </c>
      <c r="D565">
        <v>-0.271515151515151</v>
      </c>
      <c r="E565">
        <v>-0.497071129707113</v>
      </c>
      <c r="F565">
        <v>-0.508986928104575</v>
      </c>
      <c r="G565">
        <v>-0.417070805043647</v>
      </c>
      <c r="H565">
        <v>0.122106049290515</v>
      </c>
      <c r="I565">
        <v>3.846774193548387</v>
      </c>
    </row>
    <row r="566" spans="1:9">
      <c r="A566" s="1" t="s">
        <v>578</v>
      </c>
      <c r="B566">
        <f>HYPERLINK("https://www.suredividend.com/sure-analysis-research-database/","EZCorp, Inc.")</f>
        <v>0</v>
      </c>
      <c r="C566">
        <v>-0.088888888888888</v>
      </c>
      <c r="D566">
        <v>0.06275579809004</v>
      </c>
      <c r="E566">
        <v>0.133915574963609</v>
      </c>
      <c r="F566">
        <v>0.056987788331071</v>
      </c>
      <c r="G566">
        <v>-0.054611650485436</v>
      </c>
      <c r="H566">
        <v>0.5304518664047151</v>
      </c>
      <c r="I566">
        <v>-0.213131313131313</v>
      </c>
    </row>
    <row r="567" spans="1:9">
      <c r="A567" s="1" t="s">
        <v>579</v>
      </c>
      <c r="B567">
        <f>HYPERLINK("https://www.suredividend.com/sure-analysis-research-database/","First Advantage Corp.")</f>
        <v>0</v>
      </c>
      <c r="C567">
        <v>-0.122889939230249</v>
      </c>
      <c r="D567">
        <v>0.012470771628994</v>
      </c>
      <c r="E567">
        <v>-0.297837837837837</v>
      </c>
      <c r="F567">
        <v>-0.317752100840336</v>
      </c>
      <c r="G567">
        <v>-0.382604562737642</v>
      </c>
      <c r="H567">
        <v>-0.340609137055837</v>
      </c>
      <c r="I567">
        <v>-0.340609137055837</v>
      </c>
    </row>
    <row r="568" spans="1:9">
      <c r="A568" s="1" t="s">
        <v>580</v>
      </c>
      <c r="B568">
        <f>HYPERLINK("https://www.suredividend.com/sure-analysis-research-database/","Faro Technologies Inc.")</f>
        <v>0</v>
      </c>
      <c r="C568">
        <v>-0.239953743856606</v>
      </c>
      <c r="D568">
        <v>-0.108813559322033</v>
      </c>
      <c r="E568">
        <v>-0.468566808166565</v>
      </c>
      <c r="F568">
        <v>-0.624535846900885</v>
      </c>
      <c r="G568">
        <v>-0.6176</v>
      </c>
      <c r="H568">
        <v>-0.587607843137254</v>
      </c>
      <c r="I568">
        <v>-0.315364583333333</v>
      </c>
    </row>
    <row r="569" spans="1:9">
      <c r="A569" s="1" t="s">
        <v>581</v>
      </c>
      <c r="B569">
        <f>HYPERLINK("https://www.suredividend.com/sure-analysis-research-database/","Fate Therapeutics Inc")</f>
        <v>0</v>
      </c>
      <c r="C569">
        <v>-0.241281138790035</v>
      </c>
      <c r="D569">
        <v>-0.289570143285571</v>
      </c>
      <c r="E569">
        <v>-0.438651922064244</v>
      </c>
      <c r="F569">
        <v>-0.635617843103742</v>
      </c>
      <c r="G569">
        <v>-0.611869652284726</v>
      </c>
      <c r="H569">
        <v>-0.5559258487815031</v>
      </c>
      <c r="I569">
        <v>4.125</v>
      </c>
    </row>
    <row r="570" spans="1:9">
      <c r="A570" s="1" t="s">
        <v>582</v>
      </c>
      <c r="B570">
        <f>HYPERLINK("https://www.suredividend.com/sure-analysis-research-database/","Flagstar Bancorp, Inc.")</f>
        <v>0</v>
      </c>
      <c r="C570">
        <v>-0.168171266443126</v>
      </c>
      <c r="D570">
        <v>-0.106286753091277</v>
      </c>
      <c r="E570">
        <v>-0.18155309499821</v>
      </c>
      <c r="F570">
        <v>-0.324222384269154</v>
      </c>
      <c r="G570">
        <v>-0.399986604352097</v>
      </c>
      <c r="H570">
        <v>0.003372576349652</v>
      </c>
      <c r="I570">
        <v>-0.09208892742623301</v>
      </c>
    </row>
    <row r="571" spans="1:9">
      <c r="A571" s="1" t="s">
        <v>583</v>
      </c>
      <c r="B571">
        <f>HYPERLINK("https://www.suredividend.com/sure-analysis-research-database/","Fortress Biotech Inc")</f>
        <v>0</v>
      </c>
      <c r="C571">
        <v>-0.250263157894736</v>
      </c>
      <c r="D571">
        <v>-0.07600000000000001</v>
      </c>
      <c r="E571">
        <v>-0.31624</v>
      </c>
      <c r="F571">
        <v>-0.65812</v>
      </c>
      <c r="G571">
        <v>-0.714147157190635</v>
      </c>
      <c r="H571">
        <v>-0.7950359712230211</v>
      </c>
      <c r="I571">
        <v>-0.8234090909090901</v>
      </c>
    </row>
    <row r="572" spans="1:9">
      <c r="A572" s="1" t="s">
        <v>584</v>
      </c>
      <c r="B572">
        <f>HYPERLINK("https://www.suredividend.com/sure-analysis-research-database/","FB Financial Corp")</f>
        <v>0</v>
      </c>
      <c r="C572">
        <v>-0.008074690890739001</v>
      </c>
      <c r="D572">
        <v>-0.021333486029541</v>
      </c>
      <c r="E572">
        <v>-0.028941543812497</v>
      </c>
      <c r="F572">
        <v>-0.09457760006633401</v>
      </c>
      <c r="G572">
        <v>-0.104294646274995</v>
      </c>
      <c r="H572">
        <v>0.422857659940276</v>
      </c>
      <c r="I572">
        <v>0.07668541941703901</v>
      </c>
    </row>
    <row r="573" spans="1:9">
      <c r="A573" s="1" t="s">
        <v>585</v>
      </c>
      <c r="B573">
        <f>HYPERLINK("https://www.suredividend.com/sure-analysis-research-database/","First Bancshares Inc Miss")</f>
        <v>0</v>
      </c>
      <c r="C573">
        <v>-0.023963730569948</v>
      </c>
      <c r="D573">
        <v>0.061488126054356</v>
      </c>
      <c r="E573">
        <v>-0.062496111878367</v>
      </c>
      <c r="F573">
        <v>-0.2065372485218</v>
      </c>
      <c r="G573">
        <v>-0.212902754056919</v>
      </c>
      <c r="H573">
        <v>0.32938135690405</v>
      </c>
      <c r="I573">
        <v>0.061077060105403</v>
      </c>
    </row>
    <row r="574" spans="1:9">
      <c r="A574" s="1" t="s">
        <v>586</v>
      </c>
      <c r="B574">
        <f>HYPERLINK("https://www.suredividend.com/sure-analysis-research-database/","First Bancorp")</f>
        <v>0</v>
      </c>
      <c r="C574">
        <v>0.039277174763727</v>
      </c>
      <c r="D574">
        <v>0.104159737593614</v>
      </c>
      <c r="E574">
        <v>-0.000314105409622</v>
      </c>
      <c r="F574">
        <v>-0.143146394918063</v>
      </c>
      <c r="G574">
        <v>-0.177700765073528</v>
      </c>
      <c r="H574">
        <v>0.7590177637498911</v>
      </c>
      <c r="I574">
        <v>0.19218993309991</v>
      </c>
    </row>
    <row r="575" spans="1:9">
      <c r="A575" s="1" t="s">
        <v>587</v>
      </c>
      <c r="B575">
        <f>HYPERLINK("https://www.suredividend.com/sure-analysis-research-database/","First Bancorp PR")</f>
        <v>0</v>
      </c>
      <c r="C575">
        <v>0.010387811634348</v>
      </c>
      <c r="D575">
        <v>0.08297085850863201</v>
      </c>
      <c r="E575">
        <v>0.149081286277968</v>
      </c>
      <c r="F575">
        <v>0.08436331745312101</v>
      </c>
      <c r="G575">
        <v>0.09895903948418901</v>
      </c>
      <c r="H575">
        <v>1.432518047983461</v>
      </c>
      <c r="I575">
        <v>2.1746377126942</v>
      </c>
    </row>
    <row r="576" spans="1:9">
      <c r="A576" s="1" t="s">
        <v>588</v>
      </c>
      <c r="B576">
        <f>HYPERLINK("https://www.suredividend.com/sure-analysis-research-database/","Franklin BSP Realty Trust Inc.")</f>
        <v>0</v>
      </c>
      <c r="C576">
        <v>-0.08259176167401901</v>
      </c>
      <c r="D576">
        <v>-0.171181217459444</v>
      </c>
      <c r="E576">
        <v>-0.14638026431171</v>
      </c>
      <c r="F576">
        <v>-0.202187456936254</v>
      </c>
      <c r="G576">
        <v>-0.280552012819255</v>
      </c>
      <c r="H576">
        <v>-0.280552012819255</v>
      </c>
      <c r="I576">
        <v>-0.280552012819255</v>
      </c>
    </row>
    <row r="577" spans="1:9">
      <c r="A577" s="1" t="s">
        <v>589</v>
      </c>
      <c r="B577">
        <f>HYPERLINK("https://www.suredividend.com/sure-analysis-research-database/","Forte Biosciences Inc")</f>
        <v>0</v>
      </c>
      <c r="C577">
        <v>-0.15953307392996</v>
      </c>
      <c r="D577">
        <v>-0.294117647058823</v>
      </c>
      <c r="E577">
        <v>-0.239436619718309</v>
      </c>
      <c r="F577">
        <v>-0.495327102803738</v>
      </c>
      <c r="G577">
        <v>-0.6029411764705881</v>
      </c>
      <c r="H577">
        <v>-0.9760850310008851</v>
      </c>
      <c r="I577">
        <v>-0.9929687500000001</v>
      </c>
    </row>
    <row r="578" spans="1:9">
      <c r="A578" s="1" t="s">
        <v>590</v>
      </c>
      <c r="B578">
        <f>HYPERLINK("https://www.suredividend.com/sure-analysis-research-database/","Franklin Covey Co.")</f>
        <v>0</v>
      </c>
      <c r="C578">
        <v>-0.03998359647324101</v>
      </c>
      <c r="D578">
        <v>-0.05165080008102001</v>
      </c>
      <c r="E578">
        <v>0.108690504380772</v>
      </c>
      <c r="F578">
        <v>0.009922346850733</v>
      </c>
      <c r="G578">
        <v>0.08959739353037</v>
      </c>
      <c r="H578">
        <v>1.519913885898816</v>
      </c>
      <c r="I578">
        <v>1.352763819095477</v>
      </c>
    </row>
    <row r="579" spans="1:9">
      <c r="A579" s="1" t="s">
        <v>591</v>
      </c>
      <c r="B579">
        <f>HYPERLINK("https://www.suredividend.com/sure-analysis-research-database/","First Community Bankshares Inc.")</f>
        <v>0</v>
      </c>
      <c r="C579">
        <v>0.046548448385053</v>
      </c>
      <c r="D579">
        <v>0.134113658434476</v>
      </c>
      <c r="E579">
        <v>0.243121457291913</v>
      </c>
      <c r="F579">
        <v>0.01678229168269</v>
      </c>
      <c r="G579">
        <v>0.041745467382807</v>
      </c>
      <c r="H579">
        <v>0.8243642325250191</v>
      </c>
      <c r="I579">
        <v>0.328242740882146</v>
      </c>
    </row>
    <row r="580" spans="1:9">
      <c r="A580" s="1" t="s">
        <v>592</v>
      </c>
      <c r="B580">
        <f>HYPERLINK("https://www.suredividend.com/sure-analysis-research-database/","Fuelcell Energy Inc")</f>
        <v>0</v>
      </c>
      <c r="C580">
        <v>-0.266509433962264</v>
      </c>
      <c r="D580">
        <v>-0.280092592592592</v>
      </c>
      <c r="E580">
        <v>-0.423005565862708</v>
      </c>
      <c r="F580">
        <v>-0.4019230769230761</v>
      </c>
      <c r="G580">
        <v>-0.5133020344287951</v>
      </c>
      <c r="H580">
        <v>0.187022900763358</v>
      </c>
      <c r="I580">
        <v>-0.8754006410256411</v>
      </c>
    </row>
    <row r="581" spans="1:9">
      <c r="A581" s="1" t="s">
        <v>593</v>
      </c>
      <c r="B581">
        <f>HYPERLINK("https://www.suredividend.com/sure-analysis-research-database/","First Commonwealth Financial Corp.")</f>
        <v>0</v>
      </c>
      <c r="C581">
        <v>-0.025830258302583</v>
      </c>
      <c r="D581">
        <v>-0.023553083205113</v>
      </c>
      <c r="E581">
        <v>-0.07616721373431401</v>
      </c>
      <c r="F581">
        <v>-0.159931267103672</v>
      </c>
      <c r="G581">
        <v>-0.051185658527469</v>
      </c>
      <c r="H581">
        <v>0.638713361721145</v>
      </c>
      <c r="I581">
        <v>0.087404234286184</v>
      </c>
    </row>
    <row r="582" spans="1:9">
      <c r="A582" s="1" t="s">
        <v>594</v>
      </c>
      <c r="B582">
        <f>HYPERLINK("https://www.suredividend.com/sure-analysis-research-database/","FirstCash Holdings Inc")</f>
        <v>0</v>
      </c>
      <c r="C582">
        <v>-0.031128891111388</v>
      </c>
      <c r="D582">
        <v>0.120330750549323</v>
      </c>
      <c r="E582">
        <v>0.101808529846216</v>
      </c>
      <c r="F582">
        <v>0.04876698833365101</v>
      </c>
      <c r="G582">
        <v>0.201321298419061</v>
      </c>
      <c r="H582">
        <v>0.201321298419061</v>
      </c>
      <c r="I582">
        <v>0.201321298419061</v>
      </c>
    </row>
    <row r="583" spans="1:9">
      <c r="A583" s="1" t="s">
        <v>595</v>
      </c>
      <c r="B583">
        <f>HYPERLINK("https://www.suredividend.com/sure-analysis-FCPT/","Four Corners Property Trust Inc")</f>
        <v>0</v>
      </c>
      <c r="C583">
        <v>-0.132291321771495</v>
      </c>
      <c r="D583">
        <v>-0.155442947948615</v>
      </c>
      <c r="E583">
        <v>-0.160289037352406</v>
      </c>
      <c r="F583">
        <v>-0.194721896500572</v>
      </c>
      <c r="G583">
        <v>-0.119456534752501</v>
      </c>
      <c r="H583">
        <v>-0.106026089922796</v>
      </c>
      <c r="I583">
        <v>0.135243330445433</v>
      </c>
    </row>
    <row r="584" spans="1:9">
      <c r="A584" s="1" t="s">
        <v>596</v>
      </c>
      <c r="B584">
        <f>HYPERLINK("https://www.suredividend.com/sure-analysis-research-database/","Fidelity D&amp;D Bancorp, Inc.")</f>
        <v>0</v>
      </c>
      <c r="C584">
        <v>-0.015876777251184</v>
      </c>
      <c r="D584">
        <v>0.05091616710402101</v>
      </c>
      <c r="E584">
        <v>-0.03487958652967901</v>
      </c>
      <c r="F584">
        <v>-0.279074410005815</v>
      </c>
      <c r="G584">
        <v>-0.172230970082318</v>
      </c>
      <c r="H584">
        <v>-0.088626817589304</v>
      </c>
      <c r="I584">
        <v>0.397530681401367</v>
      </c>
    </row>
    <row r="585" spans="1:9">
      <c r="A585" s="1" t="s">
        <v>597</v>
      </c>
      <c r="B585">
        <f>HYPERLINK("https://www.suredividend.com/sure-analysis-research-database/","4D Molecular Therapeutics Inc")</f>
        <v>0</v>
      </c>
      <c r="C585">
        <v>-0.222958057395143</v>
      </c>
      <c r="D585">
        <v>-0.171764705882352</v>
      </c>
      <c r="E585">
        <v>-0.494978479196556</v>
      </c>
      <c r="F585">
        <v>-0.679124886052871</v>
      </c>
      <c r="G585">
        <v>-0.69284467713787</v>
      </c>
      <c r="H585">
        <v>-0.826172839506172</v>
      </c>
      <c r="I585">
        <v>-0.826172839506172</v>
      </c>
    </row>
    <row r="586" spans="1:9">
      <c r="A586" s="1" t="s">
        <v>598</v>
      </c>
      <c r="B586">
        <f>HYPERLINK("https://www.suredividend.com/sure-analysis-research-database/","Fresh Del Monte Produce Inc")</f>
        <v>0</v>
      </c>
      <c r="C586">
        <v>-0.05499219968798701</v>
      </c>
      <c r="D586">
        <v>-0.198804323745217</v>
      </c>
      <c r="E586">
        <v>-0.06512126800885801</v>
      </c>
      <c r="F586">
        <v>-0.107205364874076</v>
      </c>
      <c r="G586">
        <v>-0.258191125234972</v>
      </c>
      <c r="H586">
        <v>0.069478590565812</v>
      </c>
      <c r="I586">
        <v>-0.43353836298899</v>
      </c>
    </row>
    <row r="587" spans="1:9">
      <c r="A587" s="1" t="s">
        <v>599</v>
      </c>
      <c r="B587">
        <f>HYPERLINK("https://www.suredividend.com/sure-analysis-FELE/","Franklin Electric Co., Inc.")</f>
        <v>0</v>
      </c>
      <c r="C587">
        <v>-0.042649215841137</v>
      </c>
      <c r="D587">
        <v>0.135919418666295</v>
      </c>
      <c r="E587">
        <v>0.081106563852179</v>
      </c>
      <c r="F587">
        <v>-0.096250157104421</v>
      </c>
      <c r="G587">
        <v>0.027184992566981</v>
      </c>
      <c r="H587">
        <v>0.379360795916376</v>
      </c>
      <c r="I587">
        <v>0.9978714486863721</v>
      </c>
    </row>
    <row r="588" spans="1:9">
      <c r="A588" s="1" t="s">
        <v>600</v>
      </c>
      <c r="B588">
        <f>HYPERLINK("https://www.suredividend.com/sure-analysis-research-database/","Futurefuel Corp")</f>
        <v>0</v>
      </c>
      <c r="C588">
        <v>-0.08858858858858801</v>
      </c>
      <c r="D588">
        <v>-0.115495584763792</v>
      </c>
      <c r="E588">
        <v>-0.390360259925477</v>
      </c>
      <c r="F588">
        <v>-0.19226060573801</v>
      </c>
      <c r="G588">
        <v>-0.16861842736026</v>
      </c>
      <c r="H588">
        <v>-0.361086258617967</v>
      </c>
      <c r="I588">
        <v>-0.32661800270684</v>
      </c>
    </row>
    <row r="589" spans="1:9">
      <c r="A589" s="1" t="s">
        <v>601</v>
      </c>
      <c r="B589">
        <f>HYPERLINK("https://www.suredividend.com/sure-analysis-research-database/","First Financial Bancorp")</f>
        <v>0</v>
      </c>
      <c r="C589">
        <v>0.010059442158207</v>
      </c>
      <c r="D589">
        <v>0.125192286142154</v>
      </c>
      <c r="E589">
        <v>0.026382061313434</v>
      </c>
      <c r="F589">
        <v>-0.075852086131087</v>
      </c>
      <c r="G589">
        <v>-0.053916886876897</v>
      </c>
      <c r="H589">
        <v>0.734153962098255</v>
      </c>
      <c r="I589">
        <v>-0.008269657271641001</v>
      </c>
    </row>
    <row r="590" spans="1:9">
      <c r="A590" s="1" t="s">
        <v>602</v>
      </c>
      <c r="B590">
        <f>HYPERLINK("https://www.suredividend.com/sure-analysis-research-database/","Flushing Financial Corp.")</f>
        <v>0</v>
      </c>
      <c r="C590">
        <v>-0.06448508180943201</v>
      </c>
      <c r="D590">
        <v>-0.07488923892508201</v>
      </c>
      <c r="E590">
        <v>-0.04947241807567</v>
      </c>
      <c r="F590">
        <v>-0.175757781329896</v>
      </c>
      <c r="G590">
        <v>-0.144983374676729</v>
      </c>
      <c r="H590">
        <v>0.8097694033532871</v>
      </c>
      <c r="I590">
        <v>-0.237942916279562</v>
      </c>
    </row>
    <row r="591" spans="1:9">
      <c r="A591" s="1" t="s">
        <v>603</v>
      </c>
      <c r="B591">
        <f>HYPERLINK("https://www.suredividend.com/sure-analysis-research-database/","First Financial Bankshares, Inc.")</f>
        <v>0</v>
      </c>
      <c r="C591">
        <v>0.00991424505692</v>
      </c>
      <c r="D591">
        <v>0.06189507049359001</v>
      </c>
      <c r="E591">
        <v>0.021996006754884</v>
      </c>
      <c r="F591">
        <v>-0.141242263219694</v>
      </c>
      <c r="G591">
        <v>-0.077149450460142</v>
      </c>
      <c r="H591">
        <v>0.434727385171934</v>
      </c>
      <c r="I591">
        <v>1.030358924168564</v>
      </c>
    </row>
    <row r="592" spans="1:9">
      <c r="A592" s="1" t="s">
        <v>604</v>
      </c>
      <c r="B592">
        <f>HYPERLINK("https://www.suredividend.com/sure-analysis-research-database/","First Foundation Inc")</f>
        <v>0</v>
      </c>
      <c r="C592">
        <v>-0.07774936061381001</v>
      </c>
      <c r="D592">
        <v>-0.095737477995275</v>
      </c>
      <c r="E592">
        <v>-0.214026338618203</v>
      </c>
      <c r="F592">
        <v>-0.264153715554394</v>
      </c>
      <c r="G592">
        <v>-0.321034377577188</v>
      </c>
      <c r="H592">
        <v>0.303753624550772</v>
      </c>
      <c r="I592">
        <v>0.03352803939215</v>
      </c>
    </row>
    <row r="593" spans="1:9">
      <c r="A593" s="1" t="s">
        <v>605</v>
      </c>
      <c r="B593">
        <f>HYPERLINK("https://www.suredividend.com/sure-analysis-research-database/","FibroGen Inc")</f>
        <v>0</v>
      </c>
      <c r="C593">
        <v>0.083850931677018</v>
      </c>
      <c r="D593">
        <v>0.132197891321979</v>
      </c>
      <c r="E593">
        <v>0.12308930008045</v>
      </c>
      <c r="F593">
        <v>-0.009929078014184</v>
      </c>
      <c r="G593">
        <v>0.339731285988483</v>
      </c>
      <c r="H593">
        <v>-0.7140516181892661</v>
      </c>
      <c r="I593">
        <v>-0.746872166817769</v>
      </c>
    </row>
    <row r="594" spans="1:9">
      <c r="A594" s="1" t="s">
        <v>606</v>
      </c>
      <c r="B594">
        <f>HYPERLINK("https://www.suredividend.com/sure-analysis-research-database/","Federated Hermes Inc")</f>
        <v>0</v>
      </c>
      <c r="C594">
        <v>-0.09308885754583901</v>
      </c>
      <c r="D594">
        <v>-0.013516208711127</v>
      </c>
      <c r="E594">
        <v>0.009523749713471001</v>
      </c>
      <c r="F594">
        <v>-0.122701696746765</v>
      </c>
      <c r="G594">
        <v>-0.008909029254909001</v>
      </c>
      <c r="H594">
        <v>0.391973745167058</v>
      </c>
      <c r="I594">
        <v>0.127607262983266</v>
      </c>
    </row>
    <row r="595" spans="1:9">
      <c r="A595" s="1" t="s">
        <v>607</v>
      </c>
      <c r="B595">
        <f>HYPERLINK("https://www.suredividend.com/sure-analysis-research-database/","Foghorn Therapeutics Inc")</f>
        <v>0</v>
      </c>
      <c r="C595">
        <v>-0.245614035087719</v>
      </c>
      <c r="D595">
        <v>-0.500967117988394</v>
      </c>
      <c r="E595">
        <v>-0.510436432637571</v>
      </c>
      <c r="F595">
        <v>-0.661565369479667</v>
      </c>
      <c r="G595">
        <v>-0.413191811978771</v>
      </c>
      <c r="H595">
        <v>-0.572847682119205</v>
      </c>
      <c r="I595">
        <v>-0.572847682119205</v>
      </c>
    </row>
    <row r="596" spans="1:9">
      <c r="A596" s="1" t="s">
        <v>608</v>
      </c>
      <c r="B596">
        <f>HYPERLINK("https://www.suredividend.com/sure-analysis-research-database/","First Interstate BancSystem Inc.")</f>
        <v>0</v>
      </c>
      <c r="C596">
        <v>0.033029332018732</v>
      </c>
      <c r="D596">
        <v>0.09343651102176601</v>
      </c>
      <c r="E596">
        <v>0.258951744689031</v>
      </c>
      <c r="F596">
        <v>0.077632756333117</v>
      </c>
      <c r="G596">
        <v>0.04958151975196701</v>
      </c>
      <c r="H596">
        <v>0.274255240226453</v>
      </c>
      <c r="I596">
        <v>0.324450989624975</v>
      </c>
    </row>
    <row r="597" spans="1:9">
      <c r="A597" s="1" t="s">
        <v>609</v>
      </c>
      <c r="B597">
        <f>HYPERLINK("https://www.suredividend.com/sure-analysis-research-database/","Financial Institutions Inc.")</f>
        <v>0</v>
      </c>
      <c r="C597">
        <v>-0.055687417260044</v>
      </c>
      <c r="D597">
        <v>-0.05495453120100301</v>
      </c>
      <c r="E597">
        <v>-0.138667095368236</v>
      </c>
      <c r="F597">
        <v>-0.217624381822665</v>
      </c>
      <c r="G597">
        <v>-0.208194578546703</v>
      </c>
      <c r="H597">
        <v>0.608212489494256</v>
      </c>
      <c r="I597">
        <v>-0.019719455173815</v>
      </c>
    </row>
    <row r="598" spans="1:9">
      <c r="A598" s="1" t="s">
        <v>610</v>
      </c>
      <c r="B598">
        <f>HYPERLINK("https://www.suredividend.com/sure-analysis-research-database/","Comfort Systems USA, Inc.")</f>
        <v>0</v>
      </c>
      <c r="C598">
        <v>-0.018459146993102</v>
      </c>
      <c r="D598">
        <v>0.176162425201983</v>
      </c>
      <c r="E598">
        <v>0.164886226716399</v>
      </c>
      <c r="F598">
        <v>0.025682155282775</v>
      </c>
      <c r="G598">
        <v>0.2951102952487411</v>
      </c>
      <c r="H598">
        <v>0.7749878335239561</v>
      </c>
      <c r="I598">
        <v>1.811128764333195</v>
      </c>
    </row>
    <row r="599" spans="1:9">
      <c r="A599" s="1" t="s">
        <v>611</v>
      </c>
      <c r="B599">
        <f>HYPERLINK("https://www.suredividend.com/sure-analysis-research-database/","Homology Medicines Inc")</f>
        <v>0</v>
      </c>
      <c r="C599">
        <v>-0.306976744186046</v>
      </c>
      <c r="D599">
        <v>-0.343612334801762</v>
      </c>
      <c r="E599">
        <v>-0.391836734693877</v>
      </c>
      <c r="F599">
        <v>-0.59065934065934</v>
      </c>
      <c r="G599">
        <v>-0.7693498452012381</v>
      </c>
      <c r="H599">
        <v>-0.8631772268135901</v>
      </c>
      <c r="I599">
        <v>-0.9201500535905681</v>
      </c>
    </row>
    <row r="600" spans="1:9">
      <c r="A600" s="1" t="s">
        <v>612</v>
      </c>
      <c r="B600">
        <f>HYPERLINK("https://www.suredividend.com/sure-analysis-research-database/","National Beverage Corp.")</f>
        <v>0</v>
      </c>
      <c r="C600">
        <v>-0.140421904964841</v>
      </c>
      <c r="D600">
        <v>-0.198330683624801</v>
      </c>
      <c r="E600">
        <v>-0.121706945351621</v>
      </c>
      <c r="F600">
        <v>-0.110081623648797</v>
      </c>
      <c r="G600">
        <v>-0.219777499265035</v>
      </c>
      <c r="H600">
        <v>0.14985448668432</v>
      </c>
      <c r="I600">
        <v>-0.160950285160426</v>
      </c>
    </row>
    <row r="601" spans="1:9">
      <c r="A601" s="1" t="s">
        <v>613</v>
      </c>
      <c r="B601">
        <f>HYPERLINK("https://www.suredividend.com/sure-analysis-research-database/","Fulgent Genetics Inc")</f>
        <v>0</v>
      </c>
      <c r="C601">
        <v>-0.156278229448961</v>
      </c>
      <c r="D601">
        <v>-0.365381348734499</v>
      </c>
      <c r="E601">
        <v>-0.359835503769705</v>
      </c>
      <c r="F601">
        <v>-0.6285913112635451</v>
      </c>
      <c r="G601">
        <v>-0.5483558994197291</v>
      </c>
      <c r="H601">
        <v>-0.15090909090909</v>
      </c>
      <c r="I601">
        <v>7.175054704595185</v>
      </c>
    </row>
    <row r="602" spans="1:9">
      <c r="A602" s="1" t="s">
        <v>614</v>
      </c>
      <c r="B602">
        <f>HYPERLINK("https://www.suredividend.com/sure-analysis-FLIC/","First Of Long Island Corp.")</f>
        <v>0</v>
      </c>
      <c r="C602">
        <v>-0.057547314971534</v>
      </c>
      <c r="D602">
        <v>-0.0007225096723070001</v>
      </c>
      <c r="E602">
        <v>-0.072516751483162</v>
      </c>
      <c r="F602">
        <v>-0.171481574523179</v>
      </c>
      <c r="G602">
        <v>-0.14698260640335</v>
      </c>
      <c r="H602">
        <v>0.142373739392243</v>
      </c>
      <c r="I602">
        <v>-0.352233754853525</v>
      </c>
    </row>
    <row r="603" spans="1:9">
      <c r="A603" s="1" t="s">
        <v>615</v>
      </c>
      <c r="B603">
        <f>HYPERLINK("https://www.suredividend.com/sure-analysis-research-database/","Full House Resorts, Inc.")</f>
        <v>0</v>
      </c>
      <c r="C603">
        <v>-0.226308345120226</v>
      </c>
      <c r="D603">
        <v>-0.050347222222222</v>
      </c>
      <c r="E603">
        <v>-0.414346895074946</v>
      </c>
      <c r="F603">
        <v>-0.5483071841453341</v>
      </c>
      <c r="G603">
        <v>-0.528041415012942</v>
      </c>
      <c r="H603">
        <v>1.420353982300885</v>
      </c>
      <c r="I603">
        <v>0.9535714285714281</v>
      </c>
    </row>
    <row r="604" spans="1:9">
      <c r="A604" s="1" t="s">
        <v>616</v>
      </c>
      <c r="B604">
        <f>HYPERLINK("https://www.suredividend.com/sure-analysis-research-database/","Fluent Inc")</f>
        <v>0</v>
      </c>
      <c r="C604">
        <v>-0.136363636363636</v>
      </c>
      <c r="D604">
        <v>0.117647058823529</v>
      </c>
      <c r="E604">
        <v>-0.226744186046511</v>
      </c>
      <c r="F604">
        <v>-0.331658291457286</v>
      </c>
      <c r="G604">
        <v>-0.4062500000000001</v>
      </c>
      <c r="H604">
        <v>-0.4923664122137401</v>
      </c>
      <c r="I604">
        <v>-0.6600812738007</v>
      </c>
    </row>
    <row r="605" spans="1:9">
      <c r="A605" s="1" t="s">
        <v>617</v>
      </c>
      <c r="B605">
        <f>HYPERLINK("https://www.suredividend.com/sure-analysis-research-database/","Fluor Corporation")</f>
        <v>0</v>
      </c>
      <c r="C605">
        <v>0.01544540229885</v>
      </c>
      <c r="D605">
        <v>0.165773195876288</v>
      </c>
      <c r="E605">
        <v>-0.025508445363667</v>
      </c>
      <c r="F605">
        <v>0.141299959628582</v>
      </c>
      <c r="G605">
        <v>0.7332924586143471</v>
      </c>
      <c r="H605">
        <v>1.588827838827839</v>
      </c>
      <c r="I605">
        <v>-0.293204058263787</v>
      </c>
    </row>
    <row r="606" spans="1:9">
      <c r="A606" s="1" t="s">
        <v>618</v>
      </c>
      <c r="B606">
        <f>HYPERLINK("https://www.suredividend.com/sure-analysis-research-database/","1-800 Flowers.com Inc.")</f>
        <v>0</v>
      </c>
      <c r="C606">
        <v>-0.08784773060029201</v>
      </c>
      <c r="D606">
        <v>-0.380099502487562</v>
      </c>
      <c r="E606">
        <v>-0.5207692307692301</v>
      </c>
      <c r="F606">
        <v>-0.7334189131364991</v>
      </c>
      <c r="G606">
        <v>-0.7904473595694581</v>
      </c>
      <c r="H606">
        <v>-0.771669415429723</v>
      </c>
      <c r="I606">
        <v>-0.373869346733668</v>
      </c>
    </row>
    <row r="607" spans="1:9">
      <c r="A607" s="1" t="s">
        <v>619</v>
      </c>
      <c r="B607">
        <f>HYPERLINK("https://www.suredividend.com/sure-analysis-research-database/","Flexsteel Industries, Inc.")</f>
        <v>0</v>
      </c>
      <c r="C607">
        <v>-0.09875136320748901</v>
      </c>
      <c r="D607">
        <v>-0.196727935956663</v>
      </c>
      <c r="E607">
        <v>-0.232963285482617</v>
      </c>
      <c r="F607">
        <v>-0.4388580322265621</v>
      </c>
      <c r="G607">
        <v>-0.50331740752621</v>
      </c>
      <c r="H607">
        <v>-0.466686969542061</v>
      </c>
      <c r="I607">
        <v>-0.6547896469748911</v>
      </c>
    </row>
    <row r="608" spans="1:9">
      <c r="A608" s="1" t="s">
        <v>620</v>
      </c>
      <c r="B608">
        <f>HYPERLINK("https://www.suredividend.com/sure-analysis-research-database/","Flywire Corp")</f>
        <v>0</v>
      </c>
      <c r="C608">
        <v>-0.199475065616797</v>
      </c>
      <c r="D608">
        <v>0.000937646507266</v>
      </c>
      <c r="E608">
        <v>-0.26022176022176</v>
      </c>
      <c r="F608">
        <v>-0.4390436153441931</v>
      </c>
      <c r="G608">
        <v>-0.5615116040254671</v>
      </c>
      <c r="H608">
        <v>-0.391737891737891</v>
      </c>
      <c r="I608">
        <v>-0.391737891737891</v>
      </c>
    </row>
    <row r="609" spans="1:9">
      <c r="A609" s="1" t="s">
        <v>621</v>
      </c>
      <c r="B609">
        <f>HYPERLINK("https://www.suredividend.com/sure-analysis-research-database/","First Mid Bancshares Inc.")</f>
        <v>0</v>
      </c>
      <c r="C609">
        <v>-0.052524666279744</v>
      </c>
      <c r="D609">
        <v>-0.09102804310726401</v>
      </c>
      <c r="E609">
        <v>-0.10112297683843</v>
      </c>
      <c r="F609">
        <v>-0.223768609345207</v>
      </c>
      <c r="G609">
        <v>-0.20242911023822</v>
      </c>
      <c r="H609">
        <v>0.217071052347102</v>
      </c>
      <c r="I609">
        <v>-0.08458029478477101</v>
      </c>
    </row>
    <row r="610" spans="1:9">
      <c r="A610" s="1" t="s">
        <v>622</v>
      </c>
      <c r="B610">
        <f>HYPERLINK("https://www.suredividend.com/sure-analysis-research-database/","Farmers National Banc Corp.")</f>
        <v>0</v>
      </c>
      <c r="C610">
        <v>-0.118560338743825</v>
      </c>
      <c r="D610">
        <v>-0.149379571488892</v>
      </c>
      <c r="E610">
        <v>-0.204716939083482</v>
      </c>
      <c r="F610">
        <v>-0.305524665272897</v>
      </c>
      <c r="G610">
        <v>-0.227285663024783</v>
      </c>
      <c r="H610">
        <v>0.140483038853125</v>
      </c>
      <c r="I610">
        <v>-0.071789536266349</v>
      </c>
    </row>
    <row r="611" spans="1:9">
      <c r="A611" s="1" t="s">
        <v>623</v>
      </c>
      <c r="B611">
        <f>HYPERLINK("https://www.suredividend.com/sure-analysis-research-database/","Forma Therapeutics Holdings Inc")</f>
        <v>0</v>
      </c>
      <c r="C611">
        <v>0.002510040160642</v>
      </c>
      <c r="D611">
        <v>1.300691244239631</v>
      </c>
      <c r="E611">
        <v>1.238789237668161</v>
      </c>
      <c r="F611">
        <v>0.40436005625879</v>
      </c>
      <c r="G611">
        <v>0.066203950880939</v>
      </c>
      <c r="H611">
        <v>-0.59161554192229</v>
      </c>
      <c r="I611">
        <v>-0.487948717948718</v>
      </c>
    </row>
    <row r="612" spans="1:9">
      <c r="A612" s="1" t="s">
        <v>624</v>
      </c>
      <c r="B612">
        <f>HYPERLINK("https://www.suredividend.com/sure-analysis-research-database/","Fabrinet")</f>
        <v>0</v>
      </c>
      <c r="C612">
        <v>0.006162574586716</v>
      </c>
      <c r="D612">
        <v>0.241820596402269</v>
      </c>
      <c r="E612">
        <v>0.046921119592875</v>
      </c>
      <c r="F612">
        <v>-0.131763315607326</v>
      </c>
      <c r="G612">
        <v>0.019021200713295</v>
      </c>
      <c r="H612">
        <v>0.590536570279882</v>
      </c>
      <c r="I612">
        <v>1.741471215351812</v>
      </c>
    </row>
    <row r="613" spans="1:9">
      <c r="A613" s="1" t="s">
        <v>625</v>
      </c>
      <c r="B613">
        <f>HYPERLINK("https://www.suredividend.com/sure-analysis-research-database/","Paragon 28 Inc")</f>
        <v>0</v>
      </c>
      <c r="C613">
        <v>-0.113057324840764</v>
      </c>
      <c r="D613">
        <v>-0.136880165289256</v>
      </c>
      <c r="E613">
        <v>0.028307692307692</v>
      </c>
      <c r="F613">
        <v>-0.05539853024307501</v>
      </c>
      <c r="G613">
        <v>-0.106894708711918</v>
      </c>
      <c r="H613">
        <v>-0.106894708711918</v>
      </c>
      <c r="I613">
        <v>-0.106894708711918</v>
      </c>
    </row>
    <row r="614" spans="1:9">
      <c r="A614" s="1" t="s">
        <v>626</v>
      </c>
      <c r="B614">
        <f>HYPERLINK("https://www.suredividend.com/sure-analysis-research-database/","Finch Therapeutics Group Inc")</f>
        <v>0</v>
      </c>
      <c r="C614">
        <v>-0.38235294117647</v>
      </c>
      <c r="D614">
        <v>-0.366037735849056</v>
      </c>
      <c r="E614">
        <v>-0.647058823529411</v>
      </c>
      <c r="F614">
        <v>-0.831494483450351</v>
      </c>
      <c r="G614">
        <v>-0.860349127182044</v>
      </c>
      <c r="H614">
        <v>-0.921200750469043</v>
      </c>
      <c r="I614">
        <v>-0.921200750469043</v>
      </c>
    </row>
    <row r="615" spans="1:9">
      <c r="A615" s="1" t="s">
        <v>627</v>
      </c>
      <c r="B615">
        <f>HYPERLINK("https://www.suredividend.com/sure-analysis-research-database/","Funko Inc")</f>
        <v>0</v>
      </c>
      <c r="C615">
        <v>-0.117896522476675</v>
      </c>
      <c r="D615">
        <v>-0.185909980430528</v>
      </c>
      <c r="E615">
        <v>0.155555555555555</v>
      </c>
      <c r="F615">
        <v>0.106382978723404</v>
      </c>
      <c r="G615">
        <v>0.124324324324324</v>
      </c>
      <c r="H615">
        <v>2.349436392914654</v>
      </c>
      <c r="I615">
        <v>1.942008486562942</v>
      </c>
    </row>
    <row r="616" spans="1:9">
      <c r="A616" s="1" t="s">
        <v>628</v>
      </c>
      <c r="B616">
        <f>HYPERLINK("https://www.suredividend.com/sure-analysis-research-database/","First Bancorp Inc (ME)")</f>
        <v>0</v>
      </c>
      <c r="C616">
        <v>-0.03108739717058</v>
      </c>
      <c r="D616">
        <v>-0.06331858615650801</v>
      </c>
      <c r="E616">
        <v>-0.027466553868634</v>
      </c>
      <c r="F616">
        <v>-0.07448068452499701</v>
      </c>
      <c r="G616">
        <v>-0.022164734662889</v>
      </c>
      <c r="H616">
        <v>0.371402656045115</v>
      </c>
      <c r="I616">
        <v>0.133234484219445</v>
      </c>
    </row>
    <row r="617" spans="1:9">
      <c r="A617" s="1" t="s">
        <v>629</v>
      </c>
      <c r="B617">
        <f>HYPERLINK("https://www.suredividend.com/sure-analysis-research-database/","Finance of America Companies Inc")</f>
        <v>0</v>
      </c>
      <c r="C617">
        <v>0.122302158273381</v>
      </c>
      <c r="D617">
        <v>-0.142857142857142</v>
      </c>
      <c r="E617">
        <v>-0.385826771653543</v>
      </c>
      <c r="F617">
        <v>-0.60705289672544</v>
      </c>
      <c r="G617">
        <v>-0.6941176470588231</v>
      </c>
      <c r="H617">
        <v>-0.848322800194457</v>
      </c>
      <c r="I617">
        <v>-0.8389261744966441</v>
      </c>
    </row>
    <row r="618" spans="1:9">
      <c r="A618" s="1" t="s">
        <v>630</v>
      </c>
      <c r="B618">
        <f>HYPERLINK("https://www.suredividend.com/sure-analysis-research-database/","Focus Financial Partners Inc")</f>
        <v>0</v>
      </c>
      <c r="C618">
        <v>-0.167383059418457</v>
      </c>
      <c r="D618">
        <v>-0.09308730377306501</v>
      </c>
      <c r="E618">
        <v>-0.234186046511627</v>
      </c>
      <c r="F618">
        <v>-0.448593436034829</v>
      </c>
      <c r="G618">
        <v>-0.428893513701005</v>
      </c>
      <c r="H618">
        <v>-0.121163597544702</v>
      </c>
      <c r="I618">
        <v>-0.123035952063914</v>
      </c>
    </row>
    <row r="619" spans="1:9">
      <c r="A619" s="1" t="s">
        <v>631</v>
      </c>
      <c r="B619">
        <f>HYPERLINK("https://www.suredividend.com/sure-analysis-research-database/","Ferro Corp.")</f>
        <v>0</v>
      </c>
      <c r="C619">
        <v>0.013818516812528</v>
      </c>
      <c r="D619">
        <v>0.013818516812528</v>
      </c>
      <c r="E619">
        <v>0.04660009510223401</v>
      </c>
      <c r="F619">
        <v>0.008245533669262001</v>
      </c>
      <c r="G619">
        <v>0.277423099245502</v>
      </c>
      <c r="H619">
        <v>1.492638731596829</v>
      </c>
      <c r="I619">
        <v>0.428293316028552</v>
      </c>
    </row>
    <row r="620" spans="1:9">
      <c r="A620" s="1" t="s">
        <v>632</v>
      </c>
      <c r="B620">
        <f>HYPERLINK("https://www.suredividend.com/sure-analysis-research-database/","Amicus Therapeutics Inc")</f>
        <v>0</v>
      </c>
      <c r="C620">
        <v>-0.115586690017513</v>
      </c>
      <c r="D620">
        <v>-0.11169744942832</v>
      </c>
      <c r="E620">
        <v>0.15693012600229</v>
      </c>
      <c r="F620">
        <v>-0.125541125541125</v>
      </c>
      <c r="G620">
        <v>-0.122502172024326</v>
      </c>
      <c r="H620">
        <v>-0.331789612967251</v>
      </c>
      <c r="I620">
        <v>-0.301038062283737</v>
      </c>
    </row>
    <row r="621" spans="1:9">
      <c r="A621" s="1" t="s">
        <v>633</v>
      </c>
      <c r="B621">
        <f>HYPERLINK("https://www.suredividend.com/sure-analysis-research-database/","Forestar Group Inc")</f>
        <v>0</v>
      </c>
      <c r="C621">
        <v>-0.111731843575418</v>
      </c>
      <c r="D621">
        <v>-0.253521126760563</v>
      </c>
      <c r="E621">
        <v>-0.310835913312693</v>
      </c>
      <c r="F621">
        <v>-0.4882758620689651</v>
      </c>
      <c r="G621">
        <v>-0.4259927797833931</v>
      </c>
      <c r="H621">
        <v>-0.407978723404255</v>
      </c>
      <c r="I621">
        <v>-0.29646017699115</v>
      </c>
    </row>
    <row r="622" spans="1:9">
      <c r="A622" s="1" t="s">
        <v>634</v>
      </c>
      <c r="B622">
        <f>HYPERLINK("https://www.suredividend.com/sure-analysis-research-database/","Forian Inc.")</f>
        <v>0</v>
      </c>
      <c r="C622">
        <v>-0.064971751412429</v>
      </c>
      <c r="D622">
        <v>-0.391544117647058</v>
      </c>
      <c r="E622">
        <v>-0.354775828460038</v>
      </c>
      <c r="F622">
        <v>-0.633037694013303</v>
      </c>
      <c r="G622">
        <v>-0.688617121354656</v>
      </c>
      <c r="H622">
        <v>-0.8554585152838421</v>
      </c>
      <c r="I622">
        <v>-0.8554585152838421</v>
      </c>
    </row>
    <row r="623" spans="1:9">
      <c r="A623" s="1" t="s">
        <v>635</v>
      </c>
      <c r="B623">
        <f>HYPERLINK("https://www.suredividend.com/sure-analysis-research-database/","FormFactor Inc.")</f>
        <v>0</v>
      </c>
      <c r="C623">
        <v>-0.045772187281621</v>
      </c>
      <c r="D623">
        <v>-0.231786216596343</v>
      </c>
      <c r="E623">
        <v>-0.253621207980322</v>
      </c>
      <c r="F623">
        <v>-0.402668416447944</v>
      </c>
      <c r="G623">
        <v>-0.233511086163345</v>
      </c>
      <c r="H623">
        <v>-0.06086657496561201</v>
      </c>
      <c r="I623">
        <v>0.6255952380952371</v>
      </c>
    </row>
    <row r="624" spans="1:9">
      <c r="A624" s="1" t="s">
        <v>636</v>
      </c>
      <c r="B624">
        <f>HYPERLINK("https://www.suredividend.com/sure-analysis-research-database/","Forrester Research Inc.")</f>
        <v>0</v>
      </c>
      <c r="C624">
        <v>-0.06197737333989101</v>
      </c>
      <c r="D624">
        <v>-0.189717442107499</v>
      </c>
      <c r="E624">
        <v>-0.32171438733772</v>
      </c>
      <c r="F624">
        <v>-0.350587434020091</v>
      </c>
      <c r="G624">
        <v>-0.24876895804609</v>
      </c>
      <c r="H624">
        <v>0.044931506849315</v>
      </c>
      <c r="I624">
        <v>-0.09726528660762</v>
      </c>
    </row>
    <row r="625" spans="1:9">
      <c r="A625" s="1" t="s">
        <v>637</v>
      </c>
      <c r="B625">
        <f>HYPERLINK("https://www.suredividend.com/sure-analysis-research-database/","Fossil Group Inc")</f>
        <v>0</v>
      </c>
      <c r="C625">
        <v>-0.09870129870129801</v>
      </c>
      <c r="D625">
        <v>-0.4048027444253851</v>
      </c>
      <c r="E625">
        <v>-0.633192389006342</v>
      </c>
      <c r="F625">
        <v>-0.6627793974732751</v>
      </c>
      <c r="G625">
        <v>-0.6985230234578621</v>
      </c>
      <c r="H625">
        <v>-0.484398216939078</v>
      </c>
      <c r="I625">
        <v>-0.590801886792452</v>
      </c>
    </row>
    <row r="626" spans="1:9">
      <c r="A626" s="1" t="s">
        <v>638</v>
      </c>
      <c r="B626">
        <f>HYPERLINK("https://www.suredividend.com/sure-analysis-research-database/","Fox Factory Holding Corp")</f>
        <v>0</v>
      </c>
      <c r="C626">
        <v>-0.127249629472792</v>
      </c>
      <c r="D626">
        <v>-0.069420927869962</v>
      </c>
      <c r="E626">
        <v>-0.094961027555165</v>
      </c>
      <c r="F626">
        <v>-0.515343915343915</v>
      </c>
      <c r="G626">
        <v>-0.446042198629216</v>
      </c>
      <c r="H626">
        <v>-0.05997719498289601</v>
      </c>
      <c r="I626">
        <v>0.8757679180887371</v>
      </c>
    </row>
    <row r="627" spans="1:9">
      <c r="A627" s="1" t="s">
        <v>639</v>
      </c>
      <c r="B627">
        <f>HYPERLINK("https://www.suredividend.com/sure-analysis-research-database/","Farmland Partners Inc")</f>
        <v>0</v>
      </c>
      <c r="C627">
        <v>-0.144272734758859</v>
      </c>
      <c r="D627">
        <v>-0.117761505536099</v>
      </c>
      <c r="E627">
        <v>-0.156206651554623</v>
      </c>
      <c r="F627">
        <v>0.05655581444609201</v>
      </c>
      <c r="G627">
        <v>0.137099348014407</v>
      </c>
      <c r="H627">
        <v>0.9452460806489351</v>
      </c>
      <c r="I627">
        <v>0.60332236165398</v>
      </c>
    </row>
    <row r="628" spans="1:9">
      <c r="A628" s="1" t="s">
        <v>640</v>
      </c>
      <c r="B628">
        <f>HYPERLINK("https://www.suredividend.com/sure-analysis-research-database/","First Bank (NJ)")</f>
        <v>0</v>
      </c>
      <c r="C628">
        <v>-0.09430255402750401</v>
      </c>
      <c r="D628">
        <v>-0.005501024700679</v>
      </c>
      <c r="E628">
        <v>-0.001227702751498</v>
      </c>
      <c r="F628">
        <v>-0.035039979905387</v>
      </c>
      <c r="G628">
        <v>-0.06274143048835</v>
      </c>
      <c r="H628">
        <v>1.021427423008901</v>
      </c>
      <c r="I628">
        <v>0.156460878508893</v>
      </c>
    </row>
    <row r="629" spans="1:9">
      <c r="A629" s="1" t="s">
        <v>641</v>
      </c>
      <c r="B629">
        <f>HYPERLINK("https://www.suredividend.com/sure-analysis-research-database/","Republic First Bancorp, Inc.")</f>
        <v>0</v>
      </c>
      <c r="C629">
        <v>0.05797101449275301</v>
      </c>
      <c r="D629">
        <v>-0.277227722772277</v>
      </c>
      <c r="E629">
        <v>-0.355408388520971</v>
      </c>
      <c r="F629">
        <v>-0.21505376344086</v>
      </c>
      <c r="G629">
        <v>-0.042622950819672</v>
      </c>
      <c r="H629">
        <v>0.315315315315315</v>
      </c>
      <c r="I629">
        <v>-0.6910052910052911</v>
      </c>
    </row>
    <row r="630" spans="1:9">
      <c r="A630" s="1" t="s">
        <v>642</v>
      </c>
      <c r="B630">
        <f>HYPERLINK("https://www.suredividend.com/sure-analysis-research-database/","Whole Earth Brands Inc")</f>
        <v>0</v>
      </c>
      <c r="C630">
        <v>-0.312871287128712</v>
      </c>
      <c r="D630">
        <v>-0.427392739273927</v>
      </c>
      <c r="E630">
        <v>-0.507801418439716</v>
      </c>
      <c r="F630">
        <v>-0.6769087523277461</v>
      </c>
      <c r="G630">
        <v>-0.700086430423509</v>
      </c>
      <c r="H630">
        <v>-0.5705445544554451</v>
      </c>
      <c r="I630">
        <v>-0.642268041237113</v>
      </c>
    </row>
    <row r="631" spans="1:9">
      <c r="A631" s="1" t="s">
        <v>643</v>
      </c>
      <c r="B631">
        <f>HYPERLINK("https://www.suredividend.com/sure-analysis-research-database/","Frequency Therapeutics Inc")</f>
        <v>0</v>
      </c>
      <c r="C631">
        <v>-0.186915887850467</v>
      </c>
      <c r="D631">
        <v>-0.079365079365079</v>
      </c>
      <c r="E631">
        <v>0.247311827956989</v>
      </c>
      <c r="F631">
        <v>-0.6608187134502921</v>
      </c>
      <c r="G631">
        <v>-0.739520958083832</v>
      </c>
      <c r="H631">
        <v>-0.9181561618062081</v>
      </c>
      <c r="I631">
        <v>-0.8729927007299271</v>
      </c>
    </row>
    <row r="632" spans="1:9">
      <c r="A632" s="1" t="s">
        <v>644</v>
      </c>
      <c r="B632">
        <f>HYPERLINK("https://www.suredividend.com/sure-analysis-research-database/","Franchise Group Inc")</f>
        <v>0</v>
      </c>
      <c r="C632">
        <v>-0.281155957053604</v>
      </c>
      <c r="D632">
        <v>-0.190969014898737</v>
      </c>
      <c r="E632">
        <v>-0.3488035688093341</v>
      </c>
      <c r="F632">
        <v>-0.4780423039111351</v>
      </c>
      <c r="G632">
        <v>-0.279921700223713</v>
      </c>
      <c r="H632">
        <v>0.06719826264267301</v>
      </c>
      <c r="I632">
        <v>0.917120819559844</v>
      </c>
    </row>
    <row r="633" spans="1:9">
      <c r="A633" s="1" t="s">
        <v>645</v>
      </c>
      <c r="B633">
        <f>HYPERLINK("https://www.suredividend.com/sure-analysis-research-database/","Fiesta Restaurant Group Inc")</f>
        <v>0</v>
      </c>
      <c r="C633">
        <v>-0.09820193637621001</v>
      </c>
      <c r="D633">
        <v>-0.07386363636363601</v>
      </c>
      <c r="E633">
        <v>-0.09820193637621001</v>
      </c>
      <c r="F633">
        <v>-0.407811080835604</v>
      </c>
      <c r="G633">
        <v>-0.407272727272727</v>
      </c>
      <c r="H633">
        <v>-0.409420289855072</v>
      </c>
      <c r="I633">
        <v>-0.648517520215633</v>
      </c>
    </row>
    <row r="634" spans="1:9">
      <c r="A634" s="1" t="s">
        <v>646</v>
      </c>
      <c r="B634">
        <f>HYPERLINK("https://www.suredividend.com/sure-analysis-research-database/","First Merchants Corp.")</f>
        <v>0</v>
      </c>
      <c r="C634">
        <v>-0.017504930966469</v>
      </c>
      <c r="D634">
        <v>0.105777235140684</v>
      </c>
      <c r="E634">
        <v>0.034540946793182</v>
      </c>
      <c r="F634">
        <v>-0.026947569932802</v>
      </c>
      <c r="G634">
        <v>-0.049041763413045</v>
      </c>
      <c r="H634">
        <v>0.644343211771599</v>
      </c>
      <c r="I634">
        <v>0.03224970858697</v>
      </c>
    </row>
    <row r="635" spans="1:9">
      <c r="A635" s="1" t="s">
        <v>647</v>
      </c>
      <c r="B635">
        <f>HYPERLINK("https://www.suredividend.com/sure-analysis-research-database/","Frontline Ltd")</f>
        <v>0</v>
      </c>
      <c r="C635">
        <v>-0.142099639903446</v>
      </c>
      <c r="D635">
        <v>0.314624592211698</v>
      </c>
      <c r="E635">
        <v>0.117629470775638</v>
      </c>
      <c r="F635">
        <v>0.550764652866196</v>
      </c>
      <c r="G635">
        <v>0.240260408919806</v>
      </c>
      <c r="H635">
        <v>0.6218804237237411</v>
      </c>
      <c r="I635">
        <v>1.256922756610452</v>
      </c>
    </row>
    <row r="636" spans="1:9">
      <c r="A636" s="1" t="s">
        <v>648</v>
      </c>
      <c r="B636">
        <f>HYPERLINK("https://www.suredividend.com/sure-analysis-research-database/","JFrog Ltd")</f>
        <v>0</v>
      </c>
      <c r="C636">
        <v>0.024269662921348</v>
      </c>
      <c r="D636">
        <v>-0.024818142918271</v>
      </c>
      <c r="E636">
        <v>-0.053964300539643</v>
      </c>
      <c r="F636">
        <v>-0.232659932659932</v>
      </c>
      <c r="G636">
        <v>-0.318684603886397</v>
      </c>
      <c r="H636">
        <v>-0.692027027027027</v>
      </c>
      <c r="I636">
        <v>-0.648248186448526</v>
      </c>
    </row>
    <row r="637" spans="1:9">
      <c r="A637" s="1" t="s">
        <v>649</v>
      </c>
      <c r="B637">
        <f>HYPERLINK("https://www.suredividend.com/sure-analysis-research-database/","FRP Holdings Inc")</f>
        <v>0</v>
      </c>
      <c r="C637">
        <v>-0.066322136089577</v>
      </c>
      <c r="D637">
        <v>-0.113654946852003</v>
      </c>
      <c r="E637">
        <v>-0.07964000679232401</v>
      </c>
      <c r="F637">
        <v>-0.06228373702422101</v>
      </c>
      <c r="G637">
        <v>-0.021660649819494</v>
      </c>
      <c r="H637">
        <v>0.251732101616628</v>
      </c>
      <c r="I637">
        <v>0.243119266055045</v>
      </c>
    </row>
    <row r="638" spans="1:9">
      <c r="A638" s="1" t="s">
        <v>650</v>
      </c>
      <c r="B638">
        <f>HYPERLINK("https://www.suredividend.com/sure-analysis-research-database/","Primis Financial Corp")</f>
        <v>0</v>
      </c>
      <c r="C638">
        <v>-0.057632398753894</v>
      </c>
      <c r="D638">
        <v>-0.07177268403449001</v>
      </c>
      <c r="E638">
        <v>-0.106219530211257</v>
      </c>
      <c r="F638">
        <v>-0.177927698401375</v>
      </c>
      <c r="G638">
        <v>-0.174968123768418</v>
      </c>
      <c r="H638">
        <v>0.239938310507196</v>
      </c>
      <c r="I638">
        <v>-0.248636212629742</v>
      </c>
    </row>
    <row r="639" spans="1:9">
      <c r="A639" s="1" t="s">
        <v>651</v>
      </c>
      <c r="B639">
        <f>HYPERLINK("https://www.suredividend.com/sure-analysis-research-database/","Five Star Bancorp")</f>
        <v>0</v>
      </c>
      <c r="C639">
        <v>0.007481296758104001</v>
      </c>
      <c r="D639">
        <v>0.113512960141118</v>
      </c>
      <c r="E639">
        <v>-0.00977618420684</v>
      </c>
      <c r="F639">
        <v>-0.04135593220338901</v>
      </c>
      <c r="G639">
        <v>0.159648496926603</v>
      </c>
      <c r="H639">
        <v>0.200609644784268</v>
      </c>
      <c r="I639">
        <v>0.200609644784268</v>
      </c>
    </row>
    <row r="640" spans="1:9">
      <c r="A640" s="1" t="s">
        <v>652</v>
      </c>
      <c r="B640">
        <f>HYPERLINK("https://www.suredividend.com/sure-analysis-research-database/","FS Bancorp Inc")</f>
        <v>0</v>
      </c>
      <c r="C640">
        <v>-0.075955819881053</v>
      </c>
      <c r="D640">
        <v>-0.032862747608834</v>
      </c>
      <c r="E640">
        <v>-0.109767996175833</v>
      </c>
      <c r="F640">
        <v>-0.178383539870608</v>
      </c>
      <c r="G640">
        <v>-0.207420341226093</v>
      </c>
      <c r="H640">
        <v>0.3091185717656</v>
      </c>
      <c r="I640">
        <v>0.123303064605418</v>
      </c>
    </row>
    <row r="641" spans="1:9">
      <c r="A641" s="1" t="s">
        <v>653</v>
      </c>
      <c r="B641">
        <f>HYPERLINK("https://www.suredividend.com/sure-analysis-research-database/","Franklin Street Properties Corp.")</f>
        <v>0</v>
      </c>
      <c r="C641">
        <v>-0.19543973941368</v>
      </c>
      <c r="D641">
        <v>-0.341298202570803</v>
      </c>
      <c r="E641">
        <v>-0.5531757086777981</v>
      </c>
      <c r="F641">
        <v>-0.5702778406026541</v>
      </c>
      <c r="G641">
        <v>-0.464579901153212</v>
      </c>
      <c r="H641">
        <v>-0.233205016763938</v>
      </c>
      <c r="I641">
        <v>-0.6738068196825221</v>
      </c>
    </row>
    <row r="642" spans="1:9">
      <c r="A642" s="1" t="s">
        <v>654</v>
      </c>
      <c r="B642">
        <f>HYPERLINK("https://www.suredividend.com/sure-analysis-research-database/","Fisker Inc")</f>
        <v>0</v>
      </c>
      <c r="C642">
        <v>-0.190697674418604</v>
      </c>
      <c r="D642">
        <v>-0.253218884120171</v>
      </c>
      <c r="E642">
        <v>-0.442307692307692</v>
      </c>
      <c r="F642">
        <v>-0.557533375715193</v>
      </c>
      <c r="G642">
        <v>-0.486346863468634</v>
      </c>
      <c r="H642">
        <v>-0.523287671232876</v>
      </c>
      <c r="I642">
        <v>-0.275</v>
      </c>
    </row>
    <row r="643" spans="1:9">
      <c r="A643" s="1" t="s">
        <v>655</v>
      </c>
      <c r="B643">
        <f>HYPERLINK("https://www.suredividend.com/sure-analysis-research-database/","Federal Signal Corp.")</f>
        <v>0</v>
      </c>
      <c r="C643">
        <v>0.025344488188976</v>
      </c>
      <c r="D643">
        <v>0.171347935594135</v>
      </c>
      <c r="E643">
        <v>0.305246671887235</v>
      </c>
      <c r="F643">
        <v>-0.031331216380196</v>
      </c>
      <c r="G643">
        <v>0.031696121297951</v>
      </c>
      <c r="H643">
        <v>0.360613075860627</v>
      </c>
      <c r="I643">
        <v>1.036965522635394</v>
      </c>
    </row>
    <row r="644" spans="1:9">
      <c r="A644" s="1" t="s">
        <v>656</v>
      </c>
      <c r="B644">
        <f>HYPERLINK("https://www.suredividend.com/sure-analysis-research-database/","FTC Solar Inc")</f>
        <v>0</v>
      </c>
      <c r="C644">
        <v>-0.369767441860465</v>
      </c>
      <c r="D644">
        <v>-0.3638497652582151</v>
      </c>
      <c r="E644">
        <v>-0.315656565656565</v>
      </c>
      <c r="F644">
        <v>-0.6415343915343911</v>
      </c>
      <c r="G644">
        <v>-0.603801169590643</v>
      </c>
      <c r="H644">
        <v>-0.8099579242636741</v>
      </c>
      <c r="I644">
        <v>-0.8099579242636741</v>
      </c>
    </row>
    <row r="645" spans="1:9">
      <c r="A645" s="1" t="s">
        <v>657</v>
      </c>
      <c r="B645">
        <f>HYPERLINK("https://www.suredividend.com/sure-analysis-research-database/","Fathom Holdings Inc")</f>
        <v>0</v>
      </c>
      <c r="C645">
        <v>-0.319213313161876</v>
      </c>
      <c r="D645">
        <v>-0.476135040745052</v>
      </c>
      <c r="E645">
        <v>-0.5140388768898481</v>
      </c>
      <c r="F645">
        <v>-0.780058651026392</v>
      </c>
      <c r="G645">
        <v>-0.815800245599672</v>
      </c>
      <c r="H645">
        <v>-0.7734138972809661</v>
      </c>
      <c r="I645">
        <v>-0.5513459621136581</v>
      </c>
    </row>
    <row r="646" spans="1:9">
      <c r="A646" s="1" t="s">
        <v>658</v>
      </c>
      <c r="B646">
        <f>HYPERLINK("https://www.suredividend.com/sure-analysis-research-database/","fuboTV Inc")</f>
        <v>0</v>
      </c>
      <c r="C646">
        <v>-0.158013544018058</v>
      </c>
      <c r="D646">
        <v>0.322695035460993</v>
      </c>
      <c r="E646">
        <v>-0.358003442340791</v>
      </c>
      <c r="F646">
        <v>-0.7596649484536081</v>
      </c>
      <c r="G646">
        <v>-0.8515127388535031</v>
      </c>
      <c r="H646">
        <v>-0.629592850049652</v>
      </c>
      <c r="I646">
        <v>7.674418604651162</v>
      </c>
    </row>
    <row r="647" spans="1:9">
      <c r="A647" s="1" t="s">
        <v>659</v>
      </c>
      <c r="B647">
        <f>HYPERLINK("https://www.suredividend.com/sure-analysis-FUL/","H.B. Fuller Company")</f>
        <v>0</v>
      </c>
      <c r="C647">
        <v>-0.044523597506678</v>
      </c>
      <c r="D647">
        <v>0.07375699868407201</v>
      </c>
      <c r="E647">
        <v>-0.041614874470603</v>
      </c>
      <c r="F647">
        <v>-0.198586883862318</v>
      </c>
      <c r="G647">
        <v>0.014412600271329</v>
      </c>
      <c r="H647">
        <v>0.332353762895665</v>
      </c>
      <c r="I647">
        <v>0.198324802233596</v>
      </c>
    </row>
    <row r="648" spans="1:9">
      <c r="A648" s="1" t="s">
        <v>660</v>
      </c>
      <c r="B648">
        <f>HYPERLINK("https://www.suredividend.com/sure-analysis-research-database/","Fulcrum Therapeutics Inc")</f>
        <v>0</v>
      </c>
      <c r="C648">
        <v>-0.042117930204572</v>
      </c>
      <c r="D648">
        <v>0.342327150084317</v>
      </c>
      <c r="E648">
        <v>-0.6257639868359191</v>
      </c>
      <c r="F648">
        <v>-0.5500282645562461</v>
      </c>
      <c r="G648">
        <v>-0.699395770392749</v>
      </c>
      <c r="H648">
        <v>-0.184426229508196</v>
      </c>
      <c r="I648">
        <v>-0.4103703703703701</v>
      </c>
    </row>
    <row r="649" spans="1:9">
      <c r="A649" s="1" t="s">
        <v>661</v>
      </c>
      <c r="B649">
        <f>HYPERLINK("https://www.suredividend.com/sure-analysis-research-database/","Fulton Financial Corp.")</f>
        <v>0</v>
      </c>
      <c r="C649">
        <v>0.013244910663108</v>
      </c>
      <c r="D649">
        <v>0.136780091136019</v>
      </c>
      <c r="E649">
        <v>0.047320541243024</v>
      </c>
      <c r="F649">
        <v>-0.004902850917014001</v>
      </c>
      <c r="G649">
        <v>0.05019739111548301</v>
      </c>
      <c r="H649">
        <v>0.7193235654001821</v>
      </c>
      <c r="I649">
        <v>0.034847416658273</v>
      </c>
    </row>
    <row r="650" spans="1:9">
      <c r="A650" s="1" t="s">
        <v>662</v>
      </c>
      <c r="B650">
        <f>HYPERLINK("https://www.suredividend.com/sure-analysis-research-database/","Arcimoto Inc")</f>
        <v>0</v>
      </c>
      <c r="C650">
        <v>-0.492462311557788</v>
      </c>
      <c r="D650">
        <v>-0.6833855799373041</v>
      </c>
      <c r="E650">
        <v>-0.8094339622641501</v>
      </c>
      <c r="F650">
        <v>-0.870179948586118</v>
      </c>
      <c r="G650">
        <v>-0.9031639501438161</v>
      </c>
      <c r="H650">
        <v>-0.8414442700156981</v>
      </c>
      <c r="I650">
        <v>-0.7942344911887541</v>
      </c>
    </row>
    <row r="651" spans="1:9">
      <c r="A651" s="1" t="s">
        <v>663</v>
      </c>
      <c r="B651">
        <f>HYPERLINK("https://www.suredividend.com/sure-analysis-research-database/","Forward Air Corp.")</f>
        <v>0</v>
      </c>
      <c r="C651">
        <v>-0.012858454944381</v>
      </c>
      <c r="D651">
        <v>0.05201566549534301</v>
      </c>
      <c r="E651">
        <v>0.138109794121315</v>
      </c>
      <c r="F651">
        <v>-0.195420559737091</v>
      </c>
      <c r="G651">
        <v>0.145951555617686</v>
      </c>
      <c r="H651">
        <v>0.5807182765546121</v>
      </c>
      <c r="I651">
        <v>0.7412796506279801</v>
      </c>
    </row>
    <row r="652" spans="1:9">
      <c r="A652" s="1" t="s">
        <v>664</v>
      </c>
      <c r="B652">
        <f>HYPERLINK("https://www.suredividend.com/sure-analysis-research-database/","First Watch Restaurant Group Inc")</f>
        <v>0</v>
      </c>
      <c r="C652">
        <v>-0.183883180097349</v>
      </c>
      <c r="D652">
        <v>0.012751677852348</v>
      </c>
      <c r="E652">
        <v>0.255407653910149</v>
      </c>
      <c r="F652">
        <v>-0.09964200477326901</v>
      </c>
      <c r="G652">
        <v>-0.3236216943074851</v>
      </c>
      <c r="H652">
        <v>-0.318120198825124</v>
      </c>
      <c r="I652">
        <v>-0.318120198825124</v>
      </c>
    </row>
    <row r="653" spans="1:9">
      <c r="A653" s="1" t="s">
        <v>665</v>
      </c>
      <c r="B653">
        <f>HYPERLINK("https://www.suredividend.com/sure-analysis-research-database/","F45 Training Holdings Inc")</f>
        <v>0</v>
      </c>
      <c r="C653">
        <v>0.267441860465116</v>
      </c>
      <c r="D653">
        <v>-0.118598382749326</v>
      </c>
      <c r="E653">
        <v>-0.6915094339622641</v>
      </c>
      <c r="F653">
        <v>-0.6997245179063361</v>
      </c>
      <c r="G653">
        <v>-0.7565152643335811</v>
      </c>
      <c r="H653">
        <v>-0.7981481481481481</v>
      </c>
      <c r="I653">
        <v>-0.7981481481481481</v>
      </c>
    </row>
    <row r="654" spans="1:9">
      <c r="A654" s="1" t="s">
        <v>666</v>
      </c>
      <c r="B654">
        <f>HYPERLINK("https://www.suredividend.com/sure-analysis-research-database/","German American Bancorp Inc")</f>
        <v>0</v>
      </c>
      <c r="C654">
        <v>-0.030181623931623</v>
      </c>
      <c r="D654">
        <v>0.052259416287271</v>
      </c>
      <c r="E654">
        <v>0.007039011321215</v>
      </c>
      <c r="F654">
        <v>-0.051247279292838</v>
      </c>
      <c r="G654">
        <v>-0.055002940916212</v>
      </c>
      <c r="H654">
        <v>0.296943200245744</v>
      </c>
      <c r="I654">
        <v>0.05773712421347001</v>
      </c>
    </row>
    <row r="655" spans="1:9">
      <c r="A655" s="1" t="s">
        <v>667</v>
      </c>
      <c r="B655">
        <f>HYPERLINK("https://www.suredividend.com/sure-analysis-research-database/","GAN Limited")</f>
        <v>0</v>
      </c>
      <c r="C655">
        <v>-0.254416961130742</v>
      </c>
      <c r="D655">
        <v>-0.321543408360128</v>
      </c>
      <c r="E655">
        <v>-0.5269058295964121</v>
      </c>
      <c r="F655">
        <v>-0.770402611534276</v>
      </c>
      <c r="G655">
        <v>-0.849607982893799</v>
      </c>
      <c r="H655">
        <v>-0.8843201754385961</v>
      </c>
      <c r="I655">
        <v>-0.840754716981132</v>
      </c>
    </row>
    <row r="656" spans="1:9">
      <c r="A656" s="1" t="s">
        <v>668</v>
      </c>
      <c r="B656">
        <f>HYPERLINK("https://www.suredividend.com/sure-analysis-research-database/","Gatos Silver Inc")</f>
        <v>0</v>
      </c>
      <c r="C656">
        <v>0.028880866425992</v>
      </c>
      <c r="D656">
        <v>0.079545454545454</v>
      </c>
      <c r="E656">
        <v>-0.396186440677966</v>
      </c>
      <c r="F656">
        <v>-0.7254335260115601</v>
      </c>
      <c r="G656">
        <v>-0.7392497712717291</v>
      </c>
      <c r="H656">
        <v>-0.568181818181818</v>
      </c>
      <c r="I656">
        <v>-0.568181818181818</v>
      </c>
    </row>
    <row r="657" spans="1:9">
      <c r="A657" s="1" t="s">
        <v>669</v>
      </c>
      <c r="B657">
        <f>HYPERLINK("https://www.suredividend.com/sure-analysis-GATX/","GATX Corp.")</f>
        <v>0</v>
      </c>
      <c r="C657">
        <v>-0.05226517312675</v>
      </c>
      <c r="D657">
        <v>-0.008383773990803001</v>
      </c>
      <c r="E657">
        <v>-0.217268003354689</v>
      </c>
      <c r="F657">
        <v>-0.117275674621553</v>
      </c>
      <c r="G657">
        <v>0.008962862409697001</v>
      </c>
      <c r="H657">
        <v>0.392349383878092</v>
      </c>
      <c r="I657">
        <v>0.6304895971413751</v>
      </c>
    </row>
    <row r="658" spans="1:9">
      <c r="A658" s="1" t="s">
        <v>670</v>
      </c>
      <c r="B658">
        <f>HYPERLINK("https://www.suredividend.com/sure-analysis-research-database/","Glacier Bancorp, Inc.")</f>
        <v>0</v>
      </c>
      <c r="C658">
        <v>-0.016851998654515</v>
      </c>
      <c r="D658">
        <v>0.06010889553960901</v>
      </c>
      <c r="E658">
        <v>0.098862442121741</v>
      </c>
      <c r="F658">
        <v>-0.079052592398775</v>
      </c>
      <c r="G658">
        <v>-0.048377023960031</v>
      </c>
      <c r="H658">
        <v>0.519948179437819</v>
      </c>
      <c r="I658">
        <v>0.556858994925723</v>
      </c>
    </row>
    <row r="659" spans="1:9">
      <c r="A659" s="1" t="s">
        <v>671</v>
      </c>
      <c r="B659">
        <f>HYPERLINK("https://www.suredividend.com/sure-analysis-research-database/","Generation Bio Co")</f>
        <v>0</v>
      </c>
      <c r="C659">
        <v>0.010968921389396</v>
      </c>
      <c r="D659">
        <v>-0.250677506775067</v>
      </c>
      <c r="E659">
        <v>-0.3687214611872141</v>
      </c>
      <c r="F659">
        <v>-0.218926553672316</v>
      </c>
      <c r="G659">
        <v>-0.7533452274754681</v>
      </c>
      <c r="H659">
        <v>-0.803552397868561</v>
      </c>
      <c r="I659">
        <v>-0.7760226812474681</v>
      </c>
    </row>
    <row r="660" spans="1:9">
      <c r="A660" s="1" t="s">
        <v>672</v>
      </c>
      <c r="B660">
        <f>HYPERLINK("https://www.suredividend.com/sure-analysis-research-database/","Gamco Investors Inc")</f>
        <v>0</v>
      </c>
      <c r="C660">
        <v>-0.260674696866621</v>
      </c>
      <c r="D660">
        <v>-0.298831544041254</v>
      </c>
      <c r="E660">
        <v>-0.313037415756449</v>
      </c>
      <c r="F660">
        <v>-0.404838605759938</v>
      </c>
      <c r="G660">
        <v>-0.375609920958468</v>
      </c>
      <c r="H660">
        <v>0.428847641144624</v>
      </c>
      <c r="I660">
        <v>-0.429449368456811</v>
      </c>
    </row>
    <row r="661" spans="1:9">
      <c r="A661" s="1" t="s">
        <v>673</v>
      </c>
      <c r="B661">
        <f>HYPERLINK("https://www.suredividend.com/sure-analysis-research-database/","GreenBox POS")</f>
        <v>0</v>
      </c>
      <c r="C661">
        <v>-0.209677419354838</v>
      </c>
      <c r="D661">
        <v>0.07988980716253401</v>
      </c>
      <c r="E661">
        <v>-0.7518987341772151</v>
      </c>
      <c r="F661">
        <v>-0.7666666666666661</v>
      </c>
      <c r="G661">
        <v>-0.8797546012269931</v>
      </c>
      <c r="H661">
        <v>-0.304964539007092</v>
      </c>
      <c r="I661">
        <v>2.512544802867383</v>
      </c>
    </row>
    <row r="662" spans="1:9">
      <c r="A662" s="1" t="s">
        <v>674</v>
      </c>
      <c r="B662">
        <f>HYPERLINK("https://www.suredividend.com/sure-analysis-research-database/","Global Blood Therapeutics Inc.")</f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>
      <c r="A663" s="1" t="s">
        <v>675</v>
      </c>
      <c r="B663">
        <f>HYPERLINK("https://www.suredividend.com/sure-analysis-research-database/","Greenbrier Cos., Inc.")</f>
        <v>0</v>
      </c>
      <c r="C663">
        <v>-0.148084815321477</v>
      </c>
      <c r="D663">
        <v>-0.229701188381506</v>
      </c>
      <c r="E663">
        <v>-0.426410888752265</v>
      </c>
      <c r="F663">
        <v>-0.445352404957316</v>
      </c>
      <c r="G663">
        <v>-0.4182407563103711</v>
      </c>
      <c r="H663">
        <v>-0.218021604075956</v>
      </c>
      <c r="I663">
        <v>-0.420608744598008</v>
      </c>
    </row>
    <row r="664" spans="1:9">
      <c r="A664" s="1" t="s">
        <v>676</v>
      </c>
      <c r="B664">
        <f>HYPERLINK("https://www.suredividend.com/sure-analysis-research-database/","Gannett Co Inc.")</f>
        <v>0</v>
      </c>
      <c r="C664">
        <v>-0.356828193832599</v>
      </c>
      <c r="D664">
        <v>-0.442748091603053</v>
      </c>
      <c r="E664">
        <v>-0.649880095923261</v>
      </c>
      <c r="F664">
        <v>-0.726078799249531</v>
      </c>
      <c r="G664">
        <v>-0.7645161290322581</v>
      </c>
      <c r="H664">
        <v>0.013888888888888</v>
      </c>
      <c r="I664">
        <v>-0.8755062886378171</v>
      </c>
    </row>
    <row r="665" spans="1:9">
      <c r="A665" s="1" t="s">
        <v>677</v>
      </c>
      <c r="B665">
        <f>HYPERLINK("https://www.suredividend.com/sure-analysis-research-database/","GCM Grosvenor Inc")</f>
        <v>0</v>
      </c>
      <c r="C665">
        <v>-0.07862407862407801</v>
      </c>
      <c r="D665">
        <v>0.09453898018154701</v>
      </c>
      <c r="E665">
        <v>-0.173407983776753</v>
      </c>
      <c r="F665">
        <v>-0.260624821317665</v>
      </c>
      <c r="G665">
        <v>-0.305729123274736</v>
      </c>
      <c r="H665">
        <v>-0.267320542378179</v>
      </c>
      <c r="I665">
        <v>-0.267320542378179</v>
      </c>
    </row>
    <row r="666" spans="1:9">
      <c r="A666" s="1" t="s">
        <v>678</v>
      </c>
      <c r="B666">
        <f>HYPERLINK("https://www.suredividend.com/sure-analysis-research-database/","Genesco Inc.")</f>
        <v>0</v>
      </c>
      <c r="C666">
        <v>-0.165890216730808</v>
      </c>
      <c r="D666">
        <v>-0.178699641005185</v>
      </c>
      <c r="E666">
        <v>-0.362933168316831</v>
      </c>
      <c r="F666">
        <v>-0.358267103007636</v>
      </c>
      <c r="G666">
        <v>-0.289264756644805</v>
      </c>
      <c r="H666">
        <v>0.898570769940064</v>
      </c>
      <c r="I666">
        <v>0.583846153846153</v>
      </c>
    </row>
    <row r="667" spans="1:9">
      <c r="A667" s="1" t="s">
        <v>679</v>
      </c>
      <c r="B667">
        <f>HYPERLINK("https://www.suredividend.com/sure-analysis-research-database/","GCP Applied Technologies Inc")</f>
        <v>0</v>
      </c>
      <c r="C667">
        <v>0.012654223347042</v>
      </c>
      <c r="D667">
        <v>0.02137843012125</v>
      </c>
      <c r="E667">
        <v>0.018777848504137</v>
      </c>
      <c r="F667">
        <v>0.011054958938723</v>
      </c>
      <c r="G667">
        <v>0.4425416854438931</v>
      </c>
      <c r="H667">
        <v>0.5691176470588231</v>
      </c>
      <c r="I667">
        <v>0.029260450160771</v>
      </c>
    </row>
    <row r="668" spans="1:9">
      <c r="A668" s="1" t="s">
        <v>680</v>
      </c>
      <c r="B668">
        <f>HYPERLINK("https://www.suredividend.com/sure-analysis-research-database/","Golden Entertainment Inc")</f>
        <v>0</v>
      </c>
      <c r="C668">
        <v>-0.056818181818181</v>
      </c>
      <c r="D668">
        <v>-0.036101994445847</v>
      </c>
      <c r="E668">
        <v>-0.26364513018322</v>
      </c>
      <c r="F668">
        <v>-0.244409261824658</v>
      </c>
      <c r="G668">
        <v>-0.256619937694704</v>
      </c>
      <c r="H668">
        <v>1.803230543318649</v>
      </c>
      <c r="I668">
        <v>0.5432497978981401</v>
      </c>
    </row>
    <row r="669" spans="1:9">
      <c r="A669" s="1" t="s">
        <v>681</v>
      </c>
      <c r="B669">
        <f>HYPERLINK("https://www.suredividend.com/sure-analysis-research-database/","Green Dot Corp.")</f>
        <v>0</v>
      </c>
      <c r="C669">
        <v>-0.096652522395096</v>
      </c>
      <c r="D669">
        <v>-0.254764683002722</v>
      </c>
      <c r="E669">
        <v>-0.297396406307297</v>
      </c>
      <c r="F669">
        <v>-0.47130242825607</v>
      </c>
      <c r="G669">
        <v>-0.596970971813209</v>
      </c>
      <c r="H669">
        <v>-0.697505525734133</v>
      </c>
      <c r="I669">
        <v>-0.649789800767684</v>
      </c>
    </row>
    <row r="670" spans="1:9">
      <c r="A670" s="1" t="s">
        <v>682</v>
      </c>
      <c r="B670">
        <f>HYPERLINK("https://www.suredividend.com/sure-analysis-research-database/","Grid Dynamics Holdings Inc")</f>
        <v>0</v>
      </c>
      <c r="C670">
        <v>-0.217741935483871</v>
      </c>
      <c r="D670">
        <v>-0.139212423738214</v>
      </c>
      <c r="E670">
        <v>-0.028785982478097</v>
      </c>
      <c r="F670">
        <v>-0.5912562549381091</v>
      </c>
      <c r="G670">
        <v>-0.457532331352673</v>
      </c>
      <c r="H670">
        <v>0.8280329799764421</v>
      </c>
      <c r="I670">
        <v>0.6336842105263151</v>
      </c>
    </row>
    <row r="671" spans="1:9">
      <c r="A671" s="1" t="s">
        <v>683</v>
      </c>
      <c r="B671">
        <f>HYPERLINK("https://www.suredividend.com/sure-analysis-GEF/","Greif Inc")</f>
        <v>0</v>
      </c>
      <c r="C671">
        <v>-0.104463526021874</v>
      </c>
      <c r="D671">
        <v>0.005125760712872</v>
      </c>
      <c r="E671">
        <v>0.007853055588746001</v>
      </c>
      <c r="F671">
        <v>0.029348203767892</v>
      </c>
      <c r="G671">
        <v>-0.08097776822722301</v>
      </c>
      <c r="H671">
        <v>0.5782060477541811</v>
      </c>
      <c r="I671">
        <v>0.25628868367921</v>
      </c>
    </row>
    <row r="672" spans="1:9">
      <c r="A672" s="1" t="s">
        <v>684</v>
      </c>
      <c r="B672">
        <f>HYPERLINK("https://www.suredividend.com/sure-analysis-research-database/","Greif Inc")</f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>
      <c r="A673" s="1" t="s">
        <v>685</v>
      </c>
      <c r="B673">
        <f>HYPERLINK("https://www.suredividend.com/sure-analysis-research-database/","Geo Group, Inc.")</f>
        <v>0</v>
      </c>
      <c r="C673">
        <v>-0.001186239620403</v>
      </c>
      <c r="D673">
        <v>0.313572542901716</v>
      </c>
      <c r="E673">
        <v>0.378068739770867</v>
      </c>
      <c r="F673">
        <v>0.08645161290322501</v>
      </c>
      <c r="G673">
        <v>-0.009411764705882</v>
      </c>
      <c r="H673">
        <v>-0.206012428451535</v>
      </c>
      <c r="I673">
        <v>-0.5381518394392001</v>
      </c>
    </row>
    <row r="674" spans="1:9">
      <c r="A674" s="1" t="s">
        <v>686</v>
      </c>
      <c r="B674">
        <f>HYPERLINK("https://www.suredividend.com/sure-analysis-research-database/","Geron Corp.")</f>
        <v>0</v>
      </c>
      <c r="C674">
        <v>-0.20754716981132</v>
      </c>
      <c r="D674">
        <v>0.088082901554404</v>
      </c>
      <c r="E674">
        <v>0.329113924050632</v>
      </c>
      <c r="F674">
        <v>0.7213114754098361</v>
      </c>
      <c r="G674">
        <v>0.5909090909090901</v>
      </c>
      <c r="H674">
        <v>0.05</v>
      </c>
      <c r="I674">
        <v>-0.0625</v>
      </c>
    </row>
    <row r="675" spans="1:9">
      <c r="A675" s="1" t="s">
        <v>687</v>
      </c>
      <c r="B675">
        <f>HYPERLINK("https://www.suredividend.com/sure-analysis-research-database/","Guess Inc.")</f>
        <v>0</v>
      </c>
      <c r="C675">
        <v>-0.126303592120509</v>
      </c>
      <c r="D675">
        <v>-0.151378728193584</v>
      </c>
      <c r="E675">
        <v>-0.31862441656086</v>
      </c>
      <c r="F675">
        <v>-0.349363385726551</v>
      </c>
      <c r="G675">
        <v>-0.249134861951353</v>
      </c>
      <c r="H675">
        <v>0.120881244564692</v>
      </c>
      <c r="I675">
        <v>0.060381259097269</v>
      </c>
    </row>
    <row r="676" spans="1:9">
      <c r="A676" s="1" t="s">
        <v>688</v>
      </c>
      <c r="B676">
        <f>HYPERLINK("https://www.suredividend.com/sure-analysis-research-database/","Gevo Inc")</f>
        <v>0</v>
      </c>
      <c r="C676">
        <v>-0.214788732394366</v>
      </c>
      <c r="D676">
        <v>-0.104417670682731</v>
      </c>
      <c r="E676">
        <v>-0.484988452655889</v>
      </c>
      <c r="F676">
        <v>-0.478971962616822</v>
      </c>
      <c r="G676">
        <v>-0.672540381791483</v>
      </c>
      <c r="H676">
        <v>1.144230769230769</v>
      </c>
      <c r="I676">
        <v>-0.8372262773722621</v>
      </c>
    </row>
    <row r="677" spans="1:9">
      <c r="A677" s="1" t="s">
        <v>689</v>
      </c>
      <c r="B677">
        <f>HYPERLINK("https://www.suredividend.com/sure-analysis-research-database/","Griffon Corp.")</f>
        <v>0</v>
      </c>
      <c r="C677">
        <v>-0.10587550901687</v>
      </c>
      <c r="D677">
        <v>0.181866765091485</v>
      </c>
      <c r="E677">
        <v>0.8419980345629291</v>
      </c>
      <c r="F677">
        <v>0.168066268951628</v>
      </c>
      <c r="G677">
        <v>0.309701333560564</v>
      </c>
      <c r="H677">
        <v>0.4473578891363401</v>
      </c>
      <c r="I677">
        <v>0.688843960487424</v>
      </c>
    </row>
    <row r="678" spans="1:9">
      <c r="A678" s="1" t="s">
        <v>690</v>
      </c>
      <c r="B678">
        <f>HYPERLINK("https://www.suredividend.com/sure-analysis-research-database/","Graham Holdings Co.")</f>
        <v>0</v>
      </c>
      <c r="C678">
        <v>-0.018539956187999</v>
      </c>
      <c r="D678">
        <v>-0.020506653366923</v>
      </c>
      <c r="E678">
        <v>-0.09156323227960601</v>
      </c>
      <c r="F678">
        <v>-0.117995826853304</v>
      </c>
      <c r="G678">
        <v>-0.07588405856401101</v>
      </c>
      <c r="H678">
        <v>0.361158857276659</v>
      </c>
      <c r="I678">
        <v>0.00307449577341</v>
      </c>
    </row>
    <row r="679" spans="1:9">
      <c r="A679" s="1" t="s">
        <v>691</v>
      </c>
      <c r="B679">
        <f>HYPERLINK("https://www.suredividend.com/sure-analysis-research-database/","Greenhill &amp; Co Inc")</f>
        <v>0</v>
      </c>
      <c r="C679">
        <v>-0.193220427921132</v>
      </c>
      <c r="D679">
        <v>-0.254093389933292</v>
      </c>
      <c r="E679">
        <v>-0.5616942122255241</v>
      </c>
      <c r="F679">
        <v>-0.6506535335116981</v>
      </c>
      <c r="G679">
        <v>-0.6141297527920691</v>
      </c>
      <c r="H679">
        <v>-0.530530767410438</v>
      </c>
      <c r="I679">
        <v>-0.6173493196284241</v>
      </c>
    </row>
    <row r="680" spans="1:9">
      <c r="A680" s="1" t="s">
        <v>692</v>
      </c>
      <c r="B680">
        <f>HYPERLINK("https://www.suredividend.com/sure-analysis-research-database/","Global Industrial Co")</f>
        <v>0</v>
      </c>
      <c r="C680">
        <v>-0.075471698113207</v>
      </c>
      <c r="D680">
        <v>-0.178563235631473</v>
      </c>
      <c r="E680">
        <v>-0.104259338248735</v>
      </c>
      <c r="F680">
        <v>-0.305305101144891</v>
      </c>
      <c r="G680">
        <v>-0.249758246481143</v>
      </c>
      <c r="H680">
        <v>0.209268896720729</v>
      </c>
      <c r="I680">
        <v>0.218464115730096</v>
      </c>
    </row>
    <row r="681" spans="1:9">
      <c r="A681" s="1" t="s">
        <v>693</v>
      </c>
      <c r="B681">
        <f>HYPERLINK("https://www.suredividend.com/sure-analysis-research-database/","G-III Apparel Group Ltd.")</f>
        <v>0</v>
      </c>
      <c r="C681">
        <v>-0.157781367797522</v>
      </c>
      <c r="D681">
        <v>-0.247715247715247</v>
      </c>
      <c r="E681">
        <v>-0.425422483468038</v>
      </c>
      <c r="F681">
        <v>-0.4341534008683061</v>
      </c>
      <c r="G681">
        <v>-0.4287801314828341</v>
      </c>
      <c r="H681">
        <v>0.015584415584415</v>
      </c>
      <c r="I681">
        <v>-0.436396396396396</v>
      </c>
    </row>
    <row r="682" spans="1:9">
      <c r="A682" s="1" t="s">
        <v>694</v>
      </c>
      <c r="B682">
        <f>HYPERLINK("https://www.suredividend.com/sure-analysis-research-database/","Glaukos Corporation")</f>
        <v>0</v>
      </c>
      <c r="C682">
        <v>-0.048312611012433</v>
      </c>
      <c r="D682">
        <v>0.09727626459143901</v>
      </c>
      <c r="E682">
        <v>-0.159793006115728</v>
      </c>
      <c r="F682">
        <v>0.205670567056705</v>
      </c>
      <c r="G682">
        <v>0.186448184233835</v>
      </c>
      <c r="H682">
        <v>-0.018501557061733</v>
      </c>
      <c r="I682">
        <v>0.659337256116444</v>
      </c>
    </row>
    <row r="683" spans="1:9">
      <c r="A683" s="1" t="s">
        <v>695</v>
      </c>
      <c r="B683">
        <f>HYPERLINK("https://www.suredividend.com/sure-analysis-research-database/","Great Lakes Dredge &amp; Dock Corporation")</f>
        <v>0</v>
      </c>
      <c r="C683">
        <v>-0.247191011235955</v>
      </c>
      <c r="D683">
        <v>-0.399348003259983</v>
      </c>
      <c r="E683">
        <v>-0.4761904761904761</v>
      </c>
      <c r="F683">
        <v>-0.5311704834605591</v>
      </c>
      <c r="G683">
        <v>-0.4955509924709101</v>
      </c>
      <c r="H683">
        <v>-0.298763082778306</v>
      </c>
      <c r="I683">
        <v>0.390566037735849</v>
      </c>
    </row>
    <row r="684" spans="1:9">
      <c r="A684" s="1" t="s">
        <v>696</v>
      </c>
      <c r="B684">
        <f>HYPERLINK("https://www.suredividend.com/sure-analysis-research-database/","Golar Lng")</f>
        <v>0</v>
      </c>
      <c r="C684">
        <v>-0.124430424114966</v>
      </c>
      <c r="D684">
        <v>0.109236234458259</v>
      </c>
      <c r="E684">
        <v>0.015447154471544</v>
      </c>
      <c r="F684">
        <v>1.016142050040354</v>
      </c>
      <c r="G684">
        <v>0.844903988183161</v>
      </c>
      <c r="H684">
        <v>2.269633507853403</v>
      </c>
      <c r="I684">
        <v>0.169333320850458</v>
      </c>
    </row>
    <row r="685" spans="1:9">
      <c r="A685" s="1" t="s">
        <v>697</v>
      </c>
      <c r="B685">
        <f>HYPERLINK("https://www.suredividend.com/sure-analysis-research-database/","Greenlight Capital Re Ltd")</f>
        <v>0</v>
      </c>
      <c r="C685">
        <v>-0.066666666666666</v>
      </c>
      <c r="D685">
        <v>-0.023684210526315</v>
      </c>
      <c r="E685">
        <v>0.08957415565345</v>
      </c>
      <c r="F685">
        <v>-0.05357142857142801</v>
      </c>
      <c r="G685">
        <v>-0.013297872340425</v>
      </c>
      <c r="H685">
        <v>0.07070707070707001</v>
      </c>
      <c r="I685">
        <v>-0.6650112866817151</v>
      </c>
    </row>
    <row r="686" spans="1:9">
      <c r="A686" s="1" t="s">
        <v>698</v>
      </c>
      <c r="B686">
        <f>HYPERLINK("https://www.suredividend.com/sure-analysis-research-database/","Greenwich LifeSciences Inc")</f>
        <v>0</v>
      </c>
      <c r="C686">
        <v>-0.004153686396677</v>
      </c>
      <c r="D686">
        <v>0.05733186328555601</v>
      </c>
      <c r="E686">
        <v>-0.51270325203252</v>
      </c>
      <c r="F686">
        <v>-0.60583641594739</v>
      </c>
      <c r="G686">
        <v>-0.7428264950388841</v>
      </c>
      <c r="H686">
        <v>0.918</v>
      </c>
      <c r="I686">
        <v>0.918</v>
      </c>
    </row>
    <row r="687" spans="1:9">
      <c r="A687" s="1" t="s">
        <v>699</v>
      </c>
      <c r="B687">
        <f>HYPERLINK("https://www.suredividend.com/sure-analysis-research-database/","Glatfelter Corporation")</f>
        <v>0</v>
      </c>
      <c r="C687">
        <v>-0.36027713625866</v>
      </c>
      <c r="D687">
        <v>-0.573846153846153</v>
      </c>
      <c r="E687">
        <v>-0.7429043455662601</v>
      </c>
      <c r="F687">
        <v>-0.8339139350405621</v>
      </c>
      <c r="G687">
        <v>-0.8009700017962991</v>
      </c>
      <c r="H687">
        <v>-0.7923382562410971</v>
      </c>
      <c r="I687">
        <v>-0.827981295294636</v>
      </c>
    </row>
    <row r="688" spans="1:9">
      <c r="A688" s="1" t="s">
        <v>700</v>
      </c>
      <c r="B688">
        <f>HYPERLINK("https://www.suredividend.com/sure-analysis-research-database/","Monte Rosa Therapeutics Inc")</f>
        <v>0</v>
      </c>
      <c r="C688">
        <v>-0.231788079470198</v>
      </c>
      <c r="D688">
        <v>-0.406649616368286</v>
      </c>
      <c r="E688">
        <v>-0.460883036405886</v>
      </c>
      <c r="F688">
        <v>-0.659157688540646</v>
      </c>
      <c r="G688">
        <v>-0.6087689713322091</v>
      </c>
      <c r="H688">
        <v>-0.671388101983002</v>
      </c>
      <c r="I688">
        <v>-0.671388101983002</v>
      </c>
    </row>
    <row r="689" spans="1:9">
      <c r="A689" s="1" t="s">
        <v>701</v>
      </c>
      <c r="B689">
        <f>HYPERLINK("https://www.suredividend.com/sure-analysis-GMRE/","Global Medical REIT Inc")</f>
        <v>0</v>
      </c>
      <c r="C689">
        <v>-0.320115963714579</v>
      </c>
      <c r="D689">
        <v>-0.325058256663541</v>
      </c>
      <c r="E689">
        <v>-0.518239952287863</v>
      </c>
      <c r="F689">
        <v>-0.5678997670106031</v>
      </c>
      <c r="G689">
        <v>-0.48667255075022</v>
      </c>
      <c r="H689">
        <v>-0.427721275858811</v>
      </c>
      <c r="I689">
        <v>0.151373095562383</v>
      </c>
    </row>
    <row r="690" spans="1:9">
      <c r="A690" s="1" t="s">
        <v>702</v>
      </c>
      <c r="B690">
        <f>HYPERLINK("https://www.suredividend.com/sure-analysis-research-database/","GMS Inc")</f>
        <v>0</v>
      </c>
      <c r="C690">
        <v>-0.049507119386637</v>
      </c>
      <c r="D690">
        <v>-0.058989373237909</v>
      </c>
      <c r="E690">
        <v>-0.09054705512471101</v>
      </c>
      <c r="F690">
        <v>-0.278156712693395</v>
      </c>
      <c r="G690">
        <v>-0.042374751710439</v>
      </c>
      <c r="H690">
        <v>0.620238984316654</v>
      </c>
      <c r="I690">
        <v>0.233020744529696</v>
      </c>
    </row>
    <row r="691" spans="1:9">
      <c r="A691" s="1" t="s">
        <v>703</v>
      </c>
      <c r="B691">
        <f>HYPERLINK("https://www.suredividend.com/sure-analysis-research-database/","Gemini Therapeutics Inc")</f>
        <v>0</v>
      </c>
      <c r="C691">
        <v>0.204379562043795</v>
      </c>
      <c r="D691">
        <v>-0.023668639053254</v>
      </c>
      <c r="E691">
        <v>0.195652173913043</v>
      </c>
      <c r="F691">
        <v>-0.4329896907216491</v>
      </c>
      <c r="G691">
        <v>-0.547945205479452</v>
      </c>
      <c r="H691">
        <v>-0.84722080760007</v>
      </c>
      <c r="I691">
        <v>-0.8398058252427181</v>
      </c>
    </row>
    <row r="692" spans="1:9">
      <c r="A692" s="1" t="s">
        <v>704</v>
      </c>
      <c r="B692">
        <f>HYPERLINK("https://www.suredividend.com/sure-analysis-research-database/","Genco Shipping &amp; Trading Limited")</f>
        <v>0</v>
      </c>
      <c r="C692">
        <v>-0.052142857142857</v>
      </c>
      <c r="D692">
        <v>-0.19236551090337</v>
      </c>
      <c r="E692">
        <v>-0.358332728899204</v>
      </c>
      <c r="F692">
        <v>-0.08502320193613701</v>
      </c>
      <c r="G692">
        <v>-0.226225531641952</v>
      </c>
      <c r="H692">
        <v>0.9998191572728911</v>
      </c>
      <c r="I692">
        <v>0.319334665592905</v>
      </c>
    </row>
    <row r="693" spans="1:9">
      <c r="A693" s="1" t="s">
        <v>705</v>
      </c>
      <c r="B693">
        <f>HYPERLINK("https://www.suredividend.com/sure-analysis-GNL/","Global Net Lease Inc")</f>
        <v>0</v>
      </c>
      <c r="C693">
        <v>-0.2277081798084</v>
      </c>
      <c r="D693">
        <v>-0.247666905958363</v>
      </c>
      <c r="E693">
        <v>-0.284739284739284</v>
      </c>
      <c r="F693">
        <v>-0.257227502427476</v>
      </c>
      <c r="G693">
        <v>-0.284836904599426</v>
      </c>
      <c r="H693">
        <v>-0.236357542062271</v>
      </c>
      <c r="I693">
        <v>-0.220927898661155</v>
      </c>
    </row>
    <row r="694" spans="1:9">
      <c r="A694" s="1" t="s">
        <v>706</v>
      </c>
      <c r="B694">
        <f>HYPERLINK("https://www.suredividend.com/sure-analysis-research-database/","Greenlane Holdings Inc")</f>
        <v>0</v>
      </c>
      <c r="C694">
        <v>-0.3946360153256701</v>
      </c>
      <c r="D694">
        <v>-0.623809523809523</v>
      </c>
      <c r="E694">
        <v>-0.8244444444444441</v>
      </c>
      <c r="F694">
        <v>-0.918058292708225</v>
      </c>
      <c r="G694">
        <v>-0.9645739910313901</v>
      </c>
      <c r="H694">
        <v>-0.9704119850187261</v>
      </c>
      <c r="I694">
        <v>-0.996255924170616</v>
      </c>
    </row>
    <row r="695" spans="1:9">
      <c r="A695" s="1" t="s">
        <v>707</v>
      </c>
      <c r="B695">
        <f>HYPERLINK("https://www.suredividend.com/sure-analysis-research-database/","Golden Nugget Online Gaming Inc")</f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>
      <c r="A696" s="1" t="s">
        <v>708</v>
      </c>
      <c r="B696">
        <f>HYPERLINK("https://www.suredividend.com/sure-analysis-research-database/","Guaranty Bancshares, Inc. (TX)")</f>
        <v>0</v>
      </c>
      <c r="C696">
        <v>0.01374967544603</v>
      </c>
      <c r="D696">
        <v>-0.00955874768976</v>
      </c>
      <c r="E696">
        <v>0.048172262523932</v>
      </c>
      <c r="F696">
        <v>-0.036863748614119</v>
      </c>
      <c r="G696">
        <v>0.017375269162047</v>
      </c>
      <c r="H696">
        <v>0.485610112016591</v>
      </c>
      <c r="I696">
        <v>0.419593020700566</v>
      </c>
    </row>
    <row r="697" spans="1:9">
      <c r="A697" s="1" t="s">
        <v>709</v>
      </c>
      <c r="B697">
        <f>HYPERLINK("https://www.suredividend.com/sure-analysis-research-database/","Genius Brands International Inc")</f>
        <v>0</v>
      </c>
      <c r="C697">
        <v>-0.06001162452775301</v>
      </c>
      <c r="D697">
        <v>-0.09990260192013301</v>
      </c>
      <c r="E697">
        <v>-0.226381248505142</v>
      </c>
      <c r="F697">
        <v>-0.383904761904761</v>
      </c>
      <c r="G697">
        <v>-0.5208148148148141</v>
      </c>
      <c r="H697">
        <v>-0.5379285714285711</v>
      </c>
      <c r="I697">
        <v>-0.8039696969696971</v>
      </c>
    </row>
    <row r="698" spans="1:9">
      <c r="A698" s="1" t="s">
        <v>710</v>
      </c>
      <c r="B698">
        <f>HYPERLINK("https://www.suredividend.com/sure-analysis-research-database/","Genworth Financial Inc")</f>
        <v>0</v>
      </c>
      <c r="C698">
        <v>-0.02200488997555</v>
      </c>
      <c r="D698">
        <v>0.09289617486338701</v>
      </c>
      <c r="E698">
        <v>0.072386058981233</v>
      </c>
      <c r="F698">
        <v>-0.012345679012345</v>
      </c>
      <c r="G698">
        <v>-0.026763990267639</v>
      </c>
      <c r="H698">
        <v>0.166180758017492</v>
      </c>
      <c r="I698">
        <v>0.04438642297650101</v>
      </c>
    </row>
    <row r="699" spans="1:9">
      <c r="A699" s="1" t="s">
        <v>711</v>
      </c>
      <c r="B699">
        <f>HYPERLINK("https://www.suredividend.com/sure-analysis-research-database/","Canoo Inc")</f>
        <v>0</v>
      </c>
      <c r="C699">
        <v>-0.492592592592592</v>
      </c>
      <c r="D699">
        <v>-0.4689922480620151</v>
      </c>
      <c r="E699">
        <v>-0.7390476190476191</v>
      </c>
      <c r="F699">
        <v>-0.8225388601036271</v>
      </c>
      <c r="G699">
        <v>-0.7882534775888711</v>
      </c>
      <c r="H699">
        <v>-0.870754716981132</v>
      </c>
      <c r="I699">
        <v>-0.8607723577235771</v>
      </c>
    </row>
    <row r="700" spans="1:9">
      <c r="A700" s="1" t="s">
        <v>712</v>
      </c>
      <c r="B700">
        <f>HYPERLINK("https://www.suredividend.com/sure-analysis-research-database/","Gogo Inc")</f>
        <v>0</v>
      </c>
      <c r="C700">
        <v>-0.08533916849015301</v>
      </c>
      <c r="D700">
        <v>-0.207332490518331</v>
      </c>
      <c r="E700">
        <v>-0.372058087130696</v>
      </c>
      <c r="F700">
        <v>-0.073170731707317</v>
      </c>
      <c r="G700">
        <v>-0.193050193050193</v>
      </c>
      <c r="H700">
        <v>0.138964577656675</v>
      </c>
      <c r="I700">
        <v>0.070879590093936</v>
      </c>
    </row>
    <row r="701" spans="1:9">
      <c r="A701" s="1" t="s">
        <v>713</v>
      </c>
      <c r="B701">
        <f>HYPERLINK("https://www.suredividend.com/sure-analysis-research-database/","Acushnet Holdings Corp")</f>
        <v>0</v>
      </c>
      <c r="C701">
        <v>-0.124205087440381</v>
      </c>
      <c r="D701">
        <v>-0.008580157205397001</v>
      </c>
      <c r="E701">
        <v>0.07583580504595501</v>
      </c>
      <c r="F701">
        <v>-0.159450696166317</v>
      </c>
      <c r="G701">
        <v>-0.069729151230756</v>
      </c>
      <c r="H701">
        <v>0.28797133555058</v>
      </c>
      <c r="I701">
        <v>1.689376140406548</v>
      </c>
    </row>
    <row r="702" spans="1:9">
      <c r="A702" s="1" t="s">
        <v>714</v>
      </c>
      <c r="B702">
        <f>HYPERLINK("https://www.suredividend.com/sure-analysis-GOOD/","Gladstone Commercial Corp")</f>
        <v>0</v>
      </c>
      <c r="C702">
        <v>-0.188625992456015</v>
      </c>
      <c r="D702">
        <v>-0.179159839674652</v>
      </c>
      <c r="E702">
        <v>-0.292333459099818</v>
      </c>
      <c r="F702">
        <v>-0.373620376479404</v>
      </c>
      <c r="G702">
        <v>-0.225742793568328</v>
      </c>
      <c r="H702">
        <v>0.00208496221006</v>
      </c>
      <c r="I702">
        <v>-0.02109919485727</v>
      </c>
    </row>
    <row r="703" spans="1:9">
      <c r="A703" s="1" t="s">
        <v>715</v>
      </c>
      <c r="B703">
        <f>HYPERLINK("https://www.suredividend.com/sure-analysis-research-database/","Gossamer Bio Inc")</f>
        <v>0</v>
      </c>
      <c r="C703">
        <v>-0.132906894100924</v>
      </c>
      <c r="D703">
        <v>0.5823605706874181</v>
      </c>
      <c r="E703">
        <v>0.223671013039117</v>
      </c>
      <c r="F703">
        <v>0.07869142351900901</v>
      </c>
      <c r="G703">
        <v>-0.029435163086714</v>
      </c>
      <c r="H703">
        <v>-0.07575757575757501</v>
      </c>
      <c r="I703">
        <v>-0.319955406911928</v>
      </c>
    </row>
    <row r="704" spans="1:9">
      <c r="A704" s="1" t="s">
        <v>716</v>
      </c>
      <c r="B704">
        <f>HYPERLINK("https://www.suredividend.com/sure-analysis-research-database/","Group 1 Automotive, Inc.")</f>
        <v>0</v>
      </c>
      <c r="C704">
        <v>-0.106627565982404</v>
      </c>
      <c r="D704">
        <v>-0.09466923509892201</v>
      </c>
      <c r="E704">
        <v>-0.002230439439147</v>
      </c>
      <c r="F704">
        <v>-0.216591473437554</v>
      </c>
      <c r="G704">
        <v>-0.198609773151638</v>
      </c>
      <c r="H704">
        <v>0.240078840096425</v>
      </c>
      <c r="I704">
        <v>1.217130946385372</v>
      </c>
    </row>
    <row r="705" spans="1:9">
      <c r="A705" s="1" t="s">
        <v>717</v>
      </c>
      <c r="B705">
        <f>HYPERLINK("https://www.suredividend.com/sure-analysis-research-database/","Granite Point Mortgage Trust Inc")</f>
        <v>0</v>
      </c>
      <c r="C705">
        <v>-0.307903334130155</v>
      </c>
      <c r="D705">
        <v>-0.343950968967154</v>
      </c>
      <c r="E705">
        <v>-0.375038546142302</v>
      </c>
      <c r="F705">
        <v>-0.4356575332293751</v>
      </c>
      <c r="G705">
        <v>-0.503799038610637</v>
      </c>
      <c r="H705">
        <v>0.03035130234371</v>
      </c>
      <c r="I705">
        <v>-0.5152983944259311</v>
      </c>
    </row>
    <row r="706" spans="1:9">
      <c r="A706" s="1" t="s">
        <v>718</v>
      </c>
      <c r="B706">
        <f>HYPERLINK("https://www.suredividend.com/sure-analysis-research-database/","Green Plains Inc")</f>
        <v>0</v>
      </c>
      <c r="C706">
        <v>-0.277952755905511</v>
      </c>
      <c r="D706">
        <v>-0.035413744740532</v>
      </c>
      <c r="E706">
        <v>-0.022040526128688</v>
      </c>
      <c r="F706">
        <v>-0.208573072497123</v>
      </c>
      <c r="G706">
        <v>-0.214673137310876</v>
      </c>
      <c r="H706">
        <v>0.689284617746392</v>
      </c>
      <c r="I706">
        <v>0.467411307228241</v>
      </c>
    </row>
    <row r="707" spans="1:9">
      <c r="A707" s="1" t="s">
        <v>719</v>
      </c>
      <c r="B707">
        <f>HYPERLINK("https://www.suredividend.com/sure-analysis-research-database/","GoPro Inc.")</f>
        <v>0</v>
      </c>
      <c r="C707">
        <v>-0.151770657672849</v>
      </c>
      <c r="D707">
        <v>-0.09532374100719401</v>
      </c>
      <c r="E707">
        <v>-0.394705174488568</v>
      </c>
      <c r="F707">
        <v>-0.512124151309408</v>
      </c>
      <c r="G707">
        <v>-0.4184971098265891</v>
      </c>
      <c r="H707">
        <v>-0.186084142394822</v>
      </c>
      <c r="I707">
        <v>-0.484102564102564</v>
      </c>
    </row>
    <row r="708" spans="1:9">
      <c r="A708" s="1" t="s">
        <v>720</v>
      </c>
      <c r="B708">
        <f>HYPERLINK("https://www.suredividend.com/sure-analysis-research-database/","Green Brick Partners Inc")</f>
        <v>0</v>
      </c>
      <c r="C708">
        <v>-0.06497292794668801</v>
      </c>
      <c r="D708">
        <v>0.047596826878208</v>
      </c>
      <c r="E708">
        <v>0.177241740954378</v>
      </c>
      <c r="F708">
        <v>-0.259808770194526</v>
      </c>
      <c r="G708">
        <v>0.04662004662004601</v>
      </c>
      <c r="H708">
        <v>0.185322069693769</v>
      </c>
      <c r="I708">
        <v>1.222772277227723</v>
      </c>
    </row>
    <row r="709" spans="1:9">
      <c r="A709" s="1" t="s">
        <v>721</v>
      </c>
      <c r="B709">
        <f>HYPERLINK("https://www.suredividend.com/sure-analysis-GRC/","Gorman-Rupp Co.")</f>
        <v>0</v>
      </c>
      <c r="C709">
        <v>-0.10835798816568</v>
      </c>
      <c r="D709">
        <v>-0.118164494691064</v>
      </c>
      <c r="E709">
        <v>-0.297911497827631</v>
      </c>
      <c r="F709">
        <v>-0.449812192216588</v>
      </c>
      <c r="G709">
        <v>-0.345162595774383</v>
      </c>
      <c r="H709">
        <v>-0.235479339550546</v>
      </c>
      <c r="I709">
        <v>-0.146805385990056</v>
      </c>
    </row>
    <row r="710" spans="1:9">
      <c r="A710" s="1" t="s">
        <v>722</v>
      </c>
      <c r="B710">
        <f>HYPERLINK("https://www.suredividend.com/sure-analysis-research-database/","Graphite Bio Inc")</f>
        <v>0</v>
      </c>
      <c r="C710">
        <v>-0.110465116279069</v>
      </c>
      <c r="D710">
        <v>-0.075528700906344</v>
      </c>
      <c r="E710">
        <v>-0.260869565217391</v>
      </c>
      <c r="F710">
        <v>-0.753821399839098</v>
      </c>
      <c r="G710">
        <v>-0.7707865168539321</v>
      </c>
      <c r="H710">
        <v>-0.8345945945945941</v>
      </c>
      <c r="I710">
        <v>-0.8345945945945941</v>
      </c>
    </row>
    <row r="711" spans="1:9">
      <c r="A711" s="1" t="s">
        <v>723</v>
      </c>
      <c r="B711">
        <f>HYPERLINK("https://www.suredividend.com/sure-analysis-research-database/","Groupon Inc")</f>
        <v>0</v>
      </c>
      <c r="C711">
        <v>-0.284703801945181</v>
      </c>
      <c r="D711">
        <v>-0.24037558685446</v>
      </c>
      <c r="E711">
        <v>-0.5967098703888331</v>
      </c>
      <c r="F711">
        <v>-0.650690846286701</v>
      </c>
      <c r="G711">
        <v>-0.650539956803455</v>
      </c>
      <c r="H711">
        <v>-0.6173131504257331</v>
      </c>
      <c r="I711">
        <v>-0.9189378757515031</v>
      </c>
    </row>
    <row r="712" spans="1:9">
      <c r="A712" s="1" t="s">
        <v>724</v>
      </c>
      <c r="B712">
        <f>HYPERLINK("https://www.suredividend.com/sure-analysis-research-database/","Gritstone Bio Inc")</f>
        <v>0</v>
      </c>
      <c r="C712">
        <v>-0.395543175487465</v>
      </c>
      <c r="D712">
        <v>-0.219424460431654</v>
      </c>
      <c r="E712">
        <v>-0.416666666666666</v>
      </c>
      <c r="F712">
        <v>-0.8312597200622081</v>
      </c>
      <c r="G712">
        <v>-0.760485651214128</v>
      </c>
      <c r="H712">
        <v>-0.276666666666666</v>
      </c>
      <c r="I712">
        <v>-0.847612359550561</v>
      </c>
    </row>
    <row r="713" spans="1:9">
      <c r="A713" s="1" t="s">
        <v>725</v>
      </c>
      <c r="B713">
        <f>HYPERLINK("https://www.suredividend.com/sure-analysis-research-database/","GrowGeneration Corp")</f>
        <v>0</v>
      </c>
      <c r="C713">
        <v>-0.247881355932203</v>
      </c>
      <c r="D713">
        <v>-0.182027649769585</v>
      </c>
      <c r="E713">
        <v>-0.5702179176755441</v>
      </c>
      <c r="F713">
        <v>-0.7279693486590031</v>
      </c>
      <c r="G713">
        <v>-0.8491928632115541</v>
      </c>
      <c r="H713">
        <v>-0.8034330011074191</v>
      </c>
      <c r="I713">
        <v>-0.183382407066617</v>
      </c>
    </row>
    <row r="714" spans="1:9">
      <c r="A714" s="1" t="s">
        <v>726</v>
      </c>
      <c r="B714">
        <f>HYPERLINK("https://www.suredividend.com/sure-analysis-research-database/","Globalstar Inc.")</f>
        <v>0</v>
      </c>
      <c r="C714">
        <v>0.022598870056497</v>
      </c>
      <c r="D714">
        <v>0.34074074074074</v>
      </c>
      <c r="E714">
        <v>0.4031007751937981</v>
      </c>
      <c r="F714">
        <v>0.5603448275862071</v>
      </c>
      <c r="G714">
        <v>0.214765100671141</v>
      </c>
      <c r="H714">
        <v>4.768005098789037</v>
      </c>
      <c r="I714">
        <v>0.117283950617283</v>
      </c>
    </row>
    <row r="715" spans="1:9">
      <c r="A715" s="1" t="s">
        <v>727</v>
      </c>
      <c r="B715">
        <f>HYPERLINK("https://www.suredividend.com/sure-analysis-research-database/","Great Southern Bancorp, Inc.")</f>
        <v>0</v>
      </c>
      <c r="C715">
        <v>-0.005641172382782</v>
      </c>
      <c r="D715">
        <v>-0.011327899418956</v>
      </c>
      <c r="E715">
        <v>0.030693043086782</v>
      </c>
      <c r="F715">
        <v>0.005040697434202</v>
      </c>
      <c r="G715">
        <v>0.05519055064028901</v>
      </c>
      <c r="H715">
        <v>0.57341950576624</v>
      </c>
      <c r="I715">
        <v>0.196286961332759</v>
      </c>
    </row>
    <row r="716" spans="1:9">
      <c r="A716" s="1" t="s">
        <v>728</v>
      </c>
      <c r="B716">
        <f>HYPERLINK("https://www.suredividend.com/sure-analysis-research-database/","Goosehead Insurance Inc")</f>
        <v>0</v>
      </c>
      <c r="C716">
        <v>-0.393167128347183</v>
      </c>
      <c r="D716">
        <v>-0.3640410296109921</v>
      </c>
      <c r="E716">
        <v>-0.515410706385488</v>
      </c>
      <c r="F716">
        <v>-0.7473862238622381</v>
      </c>
      <c r="G716">
        <v>-0.811927655677655</v>
      </c>
      <c r="H716">
        <v>-0.6445561711582101</v>
      </c>
      <c r="I716">
        <v>1.174157563567312</v>
      </c>
    </row>
    <row r="717" spans="1:9">
      <c r="A717" s="1" t="s">
        <v>729</v>
      </c>
      <c r="B717">
        <f>HYPERLINK("https://www.suredividend.com/sure-analysis-research-database/","Goodyear Tire &amp; Rubber Co.")</f>
        <v>0</v>
      </c>
      <c r="C717">
        <v>-0.212553495007132</v>
      </c>
      <c r="D717">
        <v>-0.008976660682226001</v>
      </c>
      <c r="E717">
        <v>-0.139516757599376</v>
      </c>
      <c r="F717">
        <v>-0.48217636022514</v>
      </c>
      <c r="G717">
        <v>-0.411513859275053</v>
      </c>
      <c r="H717">
        <v>0.147609147609147</v>
      </c>
      <c r="I717">
        <v>-0.6391012837402701</v>
      </c>
    </row>
    <row r="718" spans="1:9">
      <c r="A718" s="1" t="s">
        <v>730</v>
      </c>
      <c r="B718">
        <f>HYPERLINK("https://www.suredividend.com/sure-analysis-research-database/","GT Biopharma Inc")</f>
        <v>0</v>
      </c>
      <c r="C718">
        <v>-0.285714285714285</v>
      </c>
      <c r="D718">
        <v>-0.389830508474576</v>
      </c>
      <c r="E718">
        <v>-0.227467811158798</v>
      </c>
      <c r="F718">
        <v>-0.4098360655737701</v>
      </c>
      <c r="G718">
        <v>-0.695431472081218</v>
      </c>
      <c r="H718">
        <v>71</v>
      </c>
      <c r="I718">
        <v>71</v>
      </c>
    </row>
    <row r="719" spans="1:9">
      <c r="A719" s="1" t="s">
        <v>731</v>
      </c>
      <c r="B719">
        <f>HYPERLINK("https://www.suredividend.com/sure-analysis-research-database/","G1 Therapeutics Inc")</f>
        <v>0</v>
      </c>
      <c r="C719">
        <v>-0.273601924233313</v>
      </c>
      <c r="D719">
        <v>0.7922848664688421</v>
      </c>
      <c r="E719">
        <v>0.548717948717948</v>
      </c>
      <c r="F719">
        <v>0.183153770812928</v>
      </c>
      <c r="G719">
        <v>-0.00494233937397</v>
      </c>
      <c r="H719">
        <v>-0.054032889584964</v>
      </c>
      <c r="I719">
        <v>-0.5156375300721731</v>
      </c>
    </row>
    <row r="720" spans="1:9">
      <c r="A720" s="1" t="s">
        <v>732</v>
      </c>
      <c r="B720">
        <f>HYPERLINK("https://www.suredividend.com/sure-analysis-research-database/","Chart Industries Inc")</f>
        <v>0</v>
      </c>
      <c r="C720">
        <v>-0.015639007869309</v>
      </c>
      <c r="D720">
        <v>0.165673842524328</v>
      </c>
      <c r="E720">
        <v>0.134948891696336</v>
      </c>
      <c r="F720">
        <v>0.239199949840115</v>
      </c>
      <c r="G720">
        <v>0.040320033687756</v>
      </c>
      <c r="H720">
        <v>1.703693570451436</v>
      </c>
      <c r="I720">
        <v>3.605919366115125</v>
      </c>
    </row>
    <row r="721" spans="1:9">
      <c r="A721" s="1" t="s">
        <v>733</v>
      </c>
      <c r="B721">
        <f>HYPERLINK("https://www.suredividend.com/sure-analysis-research-database/","Gray Television, Inc.")</f>
        <v>0</v>
      </c>
      <c r="C721">
        <v>-0.227264137076622</v>
      </c>
      <c r="D721">
        <v>-0.128906458046075</v>
      </c>
      <c r="E721">
        <v>-0.293913360483132</v>
      </c>
      <c r="F721">
        <v>-0.260869783533263</v>
      </c>
      <c r="G721">
        <v>-0.366737363786153</v>
      </c>
      <c r="H721">
        <v>0.11302664609987</v>
      </c>
      <c r="I721">
        <v>-0.057564136217835</v>
      </c>
    </row>
    <row r="722" spans="1:9">
      <c r="A722" s="1" t="s">
        <v>734</v>
      </c>
      <c r="B722">
        <f>HYPERLINK("https://www.suredividend.com/sure-analysis-research-database/","Getty Realty Corp.")</f>
        <v>0</v>
      </c>
      <c r="C722">
        <v>-0.113001704217603</v>
      </c>
      <c r="D722">
        <v>-0.002456131084206</v>
      </c>
      <c r="E722">
        <v>-0.042306577803535</v>
      </c>
      <c r="F722">
        <v>-0.138512467783819</v>
      </c>
      <c r="G722">
        <v>-0.07650931698712901</v>
      </c>
      <c r="H722">
        <v>0.09623118703097101</v>
      </c>
      <c r="I722">
        <v>0.170408669169204</v>
      </c>
    </row>
    <row r="723" spans="1:9">
      <c r="A723" s="1" t="s">
        <v>735</v>
      </c>
      <c r="B723">
        <f>HYPERLINK("https://www.suredividend.com/sure-analysis-research-database/","GTY Technology Holdings Inc")</f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>
      <c r="A724" s="1" t="s">
        <v>736</v>
      </c>
      <c r="B724">
        <f>HYPERLINK("https://www.suredividend.com/sure-analysis-research-database/","Granite Construction Inc.")</f>
        <v>0</v>
      </c>
      <c r="C724">
        <v>-0.098382925626654</v>
      </c>
      <c r="D724">
        <v>-0.06271902143402501</v>
      </c>
      <c r="E724">
        <v>-0.135869145899236</v>
      </c>
      <c r="F724">
        <v>-0.296089999921438</v>
      </c>
      <c r="G724">
        <v>-0.309756874184701</v>
      </c>
      <c r="H724">
        <v>0.403633363446003</v>
      </c>
      <c r="I724">
        <v>-0.5069545455379201</v>
      </c>
    </row>
    <row r="725" spans="1:9">
      <c r="A725" s="1" t="s">
        <v>737</v>
      </c>
      <c r="B725">
        <f>HYPERLINK("https://www.suredividend.com/sure-analysis-GWRS/","Global Water Resources Inc")</f>
        <v>0</v>
      </c>
      <c r="C725">
        <v>-0.212817386468159</v>
      </c>
      <c r="D725">
        <v>-0.187506439600229</v>
      </c>
      <c r="E725">
        <v>-0.344492010996384</v>
      </c>
      <c r="F725">
        <v>-0.344453087424068</v>
      </c>
      <c r="G725">
        <v>-0.417408099293924</v>
      </c>
      <c r="H725">
        <v>0.02444184622237</v>
      </c>
      <c r="I725">
        <v>0.297480255735238</v>
      </c>
    </row>
    <row r="726" spans="1:9">
      <c r="A726" s="1" t="s">
        <v>738</v>
      </c>
      <c r="B726">
        <f>HYPERLINK("https://www.suredividend.com/sure-analysis-research-database/","Hawaiian Holdings, Inc.")</f>
        <v>0</v>
      </c>
      <c r="C726">
        <v>-0.151882578174856</v>
      </c>
      <c r="D726">
        <v>-0.08972602739726</v>
      </c>
      <c r="E726">
        <v>-0.243166287015945</v>
      </c>
      <c r="F726">
        <v>-0.276537833424061</v>
      </c>
      <c r="G726">
        <v>-0.373999057936881</v>
      </c>
      <c r="H726">
        <v>-0.030634573304157</v>
      </c>
      <c r="I726">
        <v>-0.659424635207651</v>
      </c>
    </row>
    <row r="727" spans="1:9">
      <c r="A727" s="1" t="s">
        <v>739</v>
      </c>
      <c r="B727">
        <f>HYPERLINK("https://www.suredividend.com/sure-analysis-research-database/","Haemonetics Corp.")</f>
        <v>0</v>
      </c>
      <c r="C727">
        <v>-0.020684272147782</v>
      </c>
      <c r="D727">
        <v>0.126946107784431</v>
      </c>
      <c r="E727">
        <v>0.2584419926446</v>
      </c>
      <c r="F727">
        <v>0.419306184012066</v>
      </c>
      <c r="G727">
        <v>0.115259259259259</v>
      </c>
      <c r="H727">
        <v>-0.211892797319932</v>
      </c>
      <c r="I727">
        <v>0.644745466462748</v>
      </c>
    </row>
    <row r="728" spans="1:9">
      <c r="A728" s="1" t="s">
        <v>740</v>
      </c>
      <c r="B728">
        <f>HYPERLINK("https://www.suredividend.com/sure-analysis-research-database/","Hanmi Financial Corp.")</f>
        <v>0</v>
      </c>
      <c r="C728">
        <v>-0.029614604462474</v>
      </c>
      <c r="D728">
        <v>0.066471681877561</v>
      </c>
      <c r="E728">
        <v>0.038059280475632</v>
      </c>
      <c r="F728">
        <v>0.03827105298568</v>
      </c>
      <c r="G728">
        <v>0.219798264133239</v>
      </c>
      <c r="H728">
        <v>1.898164415096625</v>
      </c>
      <c r="I728">
        <v>-0.082012511033503</v>
      </c>
    </row>
    <row r="729" spans="1:9">
      <c r="A729" s="1" t="s">
        <v>741</v>
      </c>
      <c r="B729">
        <f>HYPERLINK("https://www.suredividend.com/sure-analysis-research-database/","Halozyme Therapeutics Inc.")</f>
        <v>0</v>
      </c>
      <c r="C729">
        <v>-0.003381642512077</v>
      </c>
      <c r="D729">
        <v>-0.203167246040942</v>
      </c>
      <c r="E729">
        <v>-0.015979012640114</v>
      </c>
      <c r="F729">
        <v>0.026112907237005</v>
      </c>
      <c r="G729">
        <v>0.101441537640149</v>
      </c>
      <c r="H729">
        <v>0.445183887915936</v>
      </c>
      <c r="I729">
        <v>1.439976345357776</v>
      </c>
    </row>
    <row r="730" spans="1:9">
      <c r="A730" s="1" t="s">
        <v>742</v>
      </c>
      <c r="B730">
        <f>HYPERLINK("https://www.suredividend.com/sure-analysis-research-database/","Harpoon Therapeutics Inc")</f>
        <v>0</v>
      </c>
      <c r="C730">
        <v>-0.402771084337349</v>
      </c>
      <c r="D730">
        <v>-0.606587301587301</v>
      </c>
      <c r="E730">
        <v>-0.7611084337349391</v>
      </c>
      <c r="F730">
        <v>-0.8686887417218541</v>
      </c>
      <c r="G730">
        <v>-0.854846266471449</v>
      </c>
      <c r="H730">
        <v>-0.9409880952380951</v>
      </c>
      <c r="I730">
        <v>-0.926562962962962</v>
      </c>
    </row>
    <row r="731" spans="1:9">
      <c r="A731" s="1" t="s">
        <v>743</v>
      </c>
      <c r="B731">
        <f>HYPERLINK("https://www.suredividend.com/sure-analysis-HASI/","Hannon Armstrong Sustainable Infrastructure capital Inc")</f>
        <v>0</v>
      </c>
      <c r="C731">
        <v>-0.316057164017805</v>
      </c>
      <c r="D731">
        <v>-0.283998217247863</v>
      </c>
      <c r="E731">
        <v>-0.351330429651008</v>
      </c>
      <c r="F731">
        <v>-0.4730641658401951</v>
      </c>
      <c r="G731">
        <v>-0.483181999885786</v>
      </c>
      <c r="H731">
        <v>-0.374141317276927</v>
      </c>
      <c r="I731">
        <v>0.397798531667988</v>
      </c>
    </row>
    <row r="732" spans="1:9">
      <c r="A732" s="1" t="s">
        <v>744</v>
      </c>
      <c r="B732">
        <f>HYPERLINK("https://www.suredividend.com/sure-analysis-research-database/","Haynes International Inc.")</f>
        <v>0</v>
      </c>
      <c r="C732">
        <v>-0.034270216962524</v>
      </c>
      <c r="D732">
        <v>0.307807110971623</v>
      </c>
      <c r="E732">
        <v>-0.08380484130901</v>
      </c>
      <c r="F732">
        <v>-0.017847740071912</v>
      </c>
      <c r="G732">
        <v>0.039706323442364</v>
      </c>
      <c r="H732">
        <v>1.269487931214294</v>
      </c>
      <c r="I732">
        <v>0.187992090162442</v>
      </c>
    </row>
    <row r="733" spans="1:9">
      <c r="A733" s="1" t="s">
        <v>745</v>
      </c>
      <c r="B733">
        <f>HYPERLINK("https://www.suredividend.com/sure-analysis-research-database/","Hamilton Beach Brands Holding Co")</f>
        <v>0</v>
      </c>
      <c r="C733">
        <v>-0.020300088261253</v>
      </c>
      <c r="D733">
        <v>-0.106754864564724</v>
      </c>
      <c r="E733">
        <v>-0.029151688488887</v>
      </c>
      <c r="F733">
        <v>-0.207352342595171</v>
      </c>
      <c r="G733">
        <v>-0.248873309964947</v>
      </c>
      <c r="H733">
        <v>-0.4446001120806981</v>
      </c>
      <c r="I733">
        <v>-0.6656868178203981</v>
      </c>
    </row>
    <row r="734" spans="1:9">
      <c r="A734" s="1" t="s">
        <v>746</v>
      </c>
      <c r="B734">
        <f>HYPERLINK("https://www.suredividend.com/sure-analysis-research-database/","Home Bancorp Inc")</f>
        <v>0</v>
      </c>
      <c r="C734">
        <v>0.036147757255936</v>
      </c>
      <c r="D734">
        <v>0.102526236586913</v>
      </c>
      <c r="E734">
        <v>0.001719273721641</v>
      </c>
      <c r="F734">
        <v>-0.036697247706421</v>
      </c>
      <c r="G734">
        <v>0.009143191945356</v>
      </c>
      <c r="H734">
        <v>0.590754423488236</v>
      </c>
      <c r="I734">
        <v>0.051999924991092</v>
      </c>
    </row>
    <row r="735" spans="1:9">
      <c r="A735" s="1" t="s">
        <v>747</v>
      </c>
      <c r="B735">
        <f>HYPERLINK("https://www.suredividend.com/sure-analysis-research-database/","Harvard Bioscience Inc.")</f>
        <v>0</v>
      </c>
      <c r="C735">
        <v>-0.215189873417721</v>
      </c>
      <c r="D735">
        <v>-0.364102564102564</v>
      </c>
      <c r="E735">
        <v>-0.608832807570977</v>
      </c>
      <c r="F735">
        <v>-0.6482269503546091</v>
      </c>
      <c r="G735">
        <v>-0.627627627627627</v>
      </c>
      <c r="H735">
        <v>-0.257485029940119</v>
      </c>
      <c r="I735">
        <v>-0.347368421052631</v>
      </c>
    </row>
    <row r="736" spans="1:9">
      <c r="A736" s="1" t="s">
        <v>748</v>
      </c>
      <c r="B736">
        <f>HYPERLINK("https://www.suredividend.com/sure-analysis-research-database/","Horizon Bancorp Inc (IN)")</f>
        <v>0</v>
      </c>
      <c r="C736">
        <v>-0.029253437187141</v>
      </c>
      <c r="D736">
        <v>0.075256331355449</v>
      </c>
      <c r="E736">
        <v>0.022594253152814</v>
      </c>
      <c r="F736">
        <v>-0.082132307753305</v>
      </c>
      <c r="G736">
        <v>0.035579885594144</v>
      </c>
      <c r="H736">
        <v>0.6893648462513791</v>
      </c>
      <c r="I736">
        <v>0.128030210744304</v>
      </c>
    </row>
    <row r="737" spans="1:9">
      <c r="A737" s="1" t="s">
        <v>749</v>
      </c>
      <c r="B737">
        <f>HYPERLINK("https://www.suredividend.com/sure-analysis-research-database/","HBT Financial Inc")</f>
        <v>0</v>
      </c>
      <c r="C737">
        <v>-0.015250544662309</v>
      </c>
      <c r="D737">
        <v>0.040485713463585</v>
      </c>
      <c r="E737">
        <v>0.006631070826072001</v>
      </c>
      <c r="F737">
        <v>-0.008804534938543001</v>
      </c>
      <c r="G737">
        <v>0.14181060342922</v>
      </c>
      <c r="H737">
        <v>0.6082833709904101</v>
      </c>
      <c r="I737">
        <v>0.293516676921315</v>
      </c>
    </row>
    <row r="738" spans="1:9">
      <c r="A738" s="1" t="s">
        <v>750</v>
      </c>
      <c r="B738">
        <f>HYPERLINK("https://www.suredividend.com/sure-analysis-research-database/","Health Catalyst Inc")</f>
        <v>0</v>
      </c>
      <c r="C738">
        <v>-0.187175043327556</v>
      </c>
      <c r="D738">
        <v>-0.4410011918951131</v>
      </c>
      <c r="E738">
        <v>-0.610626816106268</v>
      </c>
      <c r="F738">
        <v>-0.763250883392226</v>
      </c>
      <c r="G738">
        <v>-0.8002555366269161</v>
      </c>
      <c r="H738">
        <v>-0.738864142538975</v>
      </c>
      <c r="I738">
        <v>-0.760531018636711</v>
      </c>
    </row>
    <row r="739" spans="1:9">
      <c r="A739" s="1" t="s">
        <v>751</v>
      </c>
      <c r="B739">
        <f>HYPERLINK("https://www.suredividend.com/sure-analysis-research-database/","Warrior Met Coal Inc")</f>
        <v>0</v>
      </c>
      <c r="C739">
        <v>0.05656759348034501</v>
      </c>
      <c r="D739">
        <v>0.178315571871547</v>
      </c>
      <c r="E739">
        <v>-0.083326863569313</v>
      </c>
      <c r="F739">
        <v>0.343733106803614</v>
      </c>
      <c r="G739">
        <v>0.287954933264767</v>
      </c>
      <c r="H739">
        <v>1.113540467970847</v>
      </c>
      <c r="I739">
        <v>1.276138413450285</v>
      </c>
    </row>
    <row r="740" spans="1:9">
      <c r="A740" s="1" t="s">
        <v>752</v>
      </c>
      <c r="B740">
        <f>HYPERLINK("https://www.suredividend.com/sure-analysis-research-database/","Heritage-Crystal Clean Inc")</f>
        <v>0</v>
      </c>
      <c r="C740">
        <v>-0.09587340986658301</v>
      </c>
      <c r="D740">
        <v>0.060407569141193</v>
      </c>
      <c r="E740">
        <v>0.01005199306759</v>
      </c>
      <c r="F740">
        <v>-0.08994378513429101</v>
      </c>
      <c r="G740">
        <v>-0.012203389830508</v>
      </c>
      <c r="H740">
        <v>1.011042097998619</v>
      </c>
      <c r="I740">
        <v>0.358508158508158</v>
      </c>
    </row>
    <row r="741" spans="1:9">
      <c r="A741" s="1" t="s">
        <v>753</v>
      </c>
      <c r="B741">
        <f>HYPERLINK("https://www.suredividend.com/sure-analysis-research-database/","HCI Group Inc")</f>
        <v>0</v>
      </c>
      <c r="C741">
        <v>-0.235975988408197</v>
      </c>
      <c r="D741">
        <v>-0.466223564255634</v>
      </c>
      <c r="E741">
        <v>-0.444980767553554</v>
      </c>
      <c r="F741">
        <v>-0.5496699084088861</v>
      </c>
      <c r="G741">
        <v>-0.714586846869</v>
      </c>
      <c r="H741">
        <v>-0.191050932450232</v>
      </c>
      <c r="I741">
        <v>0.132031492005851</v>
      </c>
    </row>
    <row r="742" spans="1:9">
      <c r="A742" s="1" t="s">
        <v>754</v>
      </c>
      <c r="B742">
        <f>HYPERLINK("https://www.suredividend.com/sure-analysis-research-database/","Hackett Group Inc (The)")</f>
        <v>0</v>
      </c>
      <c r="C742">
        <v>-0.034370547038433</v>
      </c>
      <c r="D742">
        <v>-0.053388680292057</v>
      </c>
      <c r="E742">
        <v>-0.190034585650345</v>
      </c>
      <c r="F742">
        <v>-0.053215154502801</v>
      </c>
      <c r="G742">
        <v>-0.052261974429422</v>
      </c>
      <c r="H742">
        <v>0.6492194040026581</v>
      </c>
      <c r="I742">
        <v>0.396562308164518</v>
      </c>
    </row>
    <row r="743" spans="1:9">
      <c r="A743" s="1" t="s">
        <v>755</v>
      </c>
      <c r="B743">
        <f>HYPERLINK("https://www.suredividend.com/sure-analysis-HCSG/","Healthcare Services Group, Inc.")</f>
        <v>0</v>
      </c>
      <c r="C743">
        <v>-0.102877697841726</v>
      </c>
      <c r="D743">
        <v>-0.287322687942208</v>
      </c>
      <c r="E743">
        <v>-0.283975286524724</v>
      </c>
      <c r="F743">
        <v>-0.270141347926604</v>
      </c>
      <c r="G743">
        <v>-0.471753422800596</v>
      </c>
      <c r="H743">
        <v>-0.4257663739472</v>
      </c>
      <c r="I743">
        <v>-0.7325239698848151</v>
      </c>
    </row>
    <row r="744" spans="1:9">
      <c r="A744" s="1" t="s">
        <v>756</v>
      </c>
      <c r="B744">
        <f>HYPERLINK("https://www.suredividend.com/sure-analysis-research-database/","Turtle Beach Corp")</f>
        <v>0</v>
      </c>
      <c r="C744">
        <v>-0.155151515151515</v>
      </c>
      <c r="D744">
        <v>-0.487876561351947</v>
      </c>
      <c r="E744">
        <v>-0.6636100386100381</v>
      </c>
      <c r="F744">
        <v>-0.6868823000898471</v>
      </c>
      <c r="G744">
        <v>-0.7685922974767591</v>
      </c>
      <c r="H744">
        <v>-0.648866498740554</v>
      </c>
      <c r="I744">
        <v>1.178124999999999</v>
      </c>
    </row>
    <row r="745" spans="1:9">
      <c r="A745" s="1" t="s">
        <v>757</v>
      </c>
      <c r="B745">
        <f>HYPERLINK("https://www.suredividend.com/sure-analysis-research-database/","H&amp;E Equipment Services Inc")</f>
        <v>0</v>
      </c>
      <c r="C745">
        <v>-0.115151515151515</v>
      </c>
      <c r="D745">
        <v>0.051377051895539</v>
      </c>
      <c r="E745">
        <v>-0.202484315980084</v>
      </c>
      <c r="F745">
        <v>-0.325167552576843</v>
      </c>
      <c r="G745">
        <v>-0.214191909406015</v>
      </c>
      <c r="H745">
        <v>0.349434115727839</v>
      </c>
      <c r="I745">
        <v>0.165096579324323</v>
      </c>
    </row>
    <row r="746" spans="1:9">
      <c r="A746" s="1" t="s">
        <v>758</v>
      </c>
      <c r="B746">
        <f>HYPERLINK("https://www.suredividend.com/sure-analysis-research-database/","Helen of Troy Ltd")</f>
        <v>0</v>
      </c>
      <c r="C746">
        <v>-0.173238048299654</v>
      </c>
      <c r="D746">
        <v>-0.344385096404377</v>
      </c>
      <c r="E746">
        <v>-0.484929123381607</v>
      </c>
      <c r="F746">
        <v>-0.588293042091054</v>
      </c>
      <c r="G746">
        <v>-0.5554132249657671</v>
      </c>
      <c r="H746">
        <v>-0.491948917268184</v>
      </c>
      <c r="I746">
        <v>0.113384955752212</v>
      </c>
    </row>
    <row r="747" spans="1:9">
      <c r="A747" s="1" t="s">
        <v>759</v>
      </c>
      <c r="B747">
        <f>HYPERLINK("https://www.suredividend.com/sure-analysis-research-database/","HF Foods Group Inc.")</f>
        <v>0</v>
      </c>
      <c r="C747">
        <v>-0.216919739696312</v>
      </c>
      <c r="D747">
        <v>-0.300387596899224</v>
      </c>
      <c r="E747">
        <v>-0.4287974683544301</v>
      </c>
      <c r="F747">
        <v>-0.573286052009456</v>
      </c>
      <c r="G747">
        <v>-0.437694704049844</v>
      </c>
      <c r="H747">
        <v>-0.5006915629322261</v>
      </c>
      <c r="I747">
        <v>-0.632008154943934</v>
      </c>
    </row>
    <row r="748" spans="1:9">
      <c r="A748" s="1" t="s">
        <v>760</v>
      </c>
      <c r="B748">
        <f>HYPERLINK("https://www.suredividend.com/sure-analysis-research-database/","Heritage Financial Corp.")</f>
        <v>0</v>
      </c>
      <c r="C748">
        <v>0.057037037037037</v>
      </c>
      <c r="D748">
        <v>0.114604284235808</v>
      </c>
      <c r="E748">
        <v>0.177077103911904</v>
      </c>
      <c r="F748">
        <v>0.197127564973742</v>
      </c>
      <c r="G748">
        <v>0.150630145380949</v>
      </c>
      <c r="H748">
        <v>0.491866348847906</v>
      </c>
      <c r="I748">
        <v>0.122150880931692</v>
      </c>
    </row>
    <row r="749" spans="1:9">
      <c r="A749" s="1" t="s">
        <v>761</v>
      </c>
      <c r="B749">
        <f>HYPERLINK("https://www.suredividend.com/sure-analysis-research-database/","Humanigen Inc")</f>
        <v>0</v>
      </c>
      <c r="C749">
        <v>-0.187292555713608</v>
      </c>
      <c r="D749">
        <v>-0.9426755852842811</v>
      </c>
      <c r="E749">
        <v>-0.9369852941176471</v>
      </c>
      <c r="F749">
        <v>-0.9539247311827951</v>
      </c>
      <c r="G749">
        <v>-0.9732605304212161</v>
      </c>
      <c r="H749">
        <v>-0.986008163265306</v>
      </c>
      <c r="I749">
        <v>-0.9927342094107671</v>
      </c>
    </row>
    <row r="750" spans="1:9">
      <c r="A750" s="1" t="s">
        <v>762</v>
      </c>
      <c r="B750">
        <f>HYPERLINK("https://www.suredividend.com/sure-analysis-research-database/","Hilton Grand Vacations Inc")</f>
        <v>0</v>
      </c>
      <c r="C750">
        <v>-0.156024963994239</v>
      </c>
      <c r="D750">
        <v>-0.0624</v>
      </c>
      <c r="E750">
        <v>-0.263510682865521</v>
      </c>
      <c r="F750">
        <v>-0.325273459988486</v>
      </c>
      <c r="G750">
        <v>-0.259477674810446</v>
      </c>
      <c r="H750">
        <v>0.540078843626806</v>
      </c>
      <c r="I750">
        <v>-0.10670731707317</v>
      </c>
    </row>
    <row r="751" spans="1:9">
      <c r="A751" s="1" t="s">
        <v>763</v>
      </c>
      <c r="B751">
        <f>HYPERLINK("https://www.suredividend.com/sure-analysis-HI/","Hillenbrand Inc")</f>
        <v>0</v>
      </c>
      <c r="C751">
        <v>-0.051346428395608</v>
      </c>
      <c r="D751">
        <v>-0.038876378155011</v>
      </c>
      <c r="E751">
        <v>-0.06547494920005201</v>
      </c>
      <c r="F751">
        <v>-0.246905257398559</v>
      </c>
      <c r="G751">
        <v>-0.128389533437365</v>
      </c>
      <c r="H751">
        <v>0.299108421957426</v>
      </c>
      <c r="I751">
        <v>0.105701506496785</v>
      </c>
    </row>
    <row r="752" spans="1:9">
      <c r="A752" s="1" t="s">
        <v>764</v>
      </c>
      <c r="B752">
        <f>HYPERLINK("https://www.suredividend.com/sure-analysis-research-database/","Hibbett Inc")</f>
        <v>0</v>
      </c>
      <c r="C752">
        <v>-0.135365099009901</v>
      </c>
      <c r="D752">
        <v>0.204248158291083</v>
      </c>
      <c r="E752">
        <v>0.272222348683162</v>
      </c>
      <c r="F752">
        <v>-0.211603214526023</v>
      </c>
      <c r="G752">
        <v>-0.25082337045035</v>
      </c>
      <c r="H752">
        <v>0.03293985883709701</v>
      </c>
      <c r="I752">
        <v>3.177005171743745</v>
      </c>
    </row>
    <row r="753" spans="1:9">
      <c r="A753" s="1" t="s">
        <v>765</v>
      </c>
      <c r="B753">
        <f>HYPERLINK("https://www.suredividend.com/sure-analysis-research-database/","Hingham Institution For Savings")</f>
        <v>0</v>
      </c>
      <c r="C753">
        <v>-0.131642931573462</v>
      </c>
      <c r="D753">
        <v>-0.151901555446471</v>
      </c>
      <c r="E753">
        <v>-0.267482125098816</v>
      </c>
      <c r="F753">
        <v>-0.402338815559846</v>
      </c>
      <c r="G753">
        <v>-0.294292463269334</v>
      </c>
      <c r="H753">
        <v>0.27331049523629</v>
      </c>
      <c r="I753">
        <v>0.334364530242304</v>
      </c>
    </row>
    <row r="754" spans="1:9">
      <c r="A754" s="1" t="s">
        <v>766</v>
      </c>
      <c r="B754">
        <f>HYPERLINK("https://www.suredividend.com/sure-analysis-research-database/","Hecla Mining Co.")</f>
        <v>0</v>
      </c>
      <c r="C754">
        <v>0.026378896882494</v>
      </c>
      <c r="D754">
        <v>0.17434011962904</v>
      </c>
      <c r="E754">
        <v>-0.3641455334195</v>
      </c>
      <c r="F754">
        <v>-0.177033860826427</v>
      </c>
      <c r="G754">
        <v>-0.218164879527976</v>
      </c>
      <c r="H754">
        <v>-0.217392894366325</v>
      </c>
      <c r="I754">
        <v>-0.163147192241514</v>
      </c>
    </row>
    <row r="755" spans="1:9">
      <c r="A755" s="1" t="s">
        <v>767</v>
      </c>
      <c r="B755">
        <f>HYPERLINK("https://www.suredividend.com/sure-analysis-HLI/","Houlihan Lokey Inc")</f>
        <v>0</v>
      </c>
      <c r="C755">
        <v>-0.039058649581074</v>
      </c>
      <c r="D755">
        <v>-0.021434585179357</v>
      </c>
      <c r="E755">
        <v>-0.04221899646066801</v>
      </c>
      <c r="F755">
        <v>-0.233587330163777</v>
      </c>
      <c r="G755">
        <v>-0.199290357090423</v>
      </c>
      <c r="H755">
        <v>0.273678348447954</v>
      </c>
      <c r="I755">
        <v>1.208510083990779</v>
      </c>
    </row>
    <row r="756" spans="1:9">
      <c r="A756" s="1" t="s">
        <v>768</v>
      </c>
      <c r="B756">
        <f>HYPERLINK("https://www.suredividend.com/sure-analysis-research-database/","Helios Technologies Inc")</f>
        <v>0</v>
      </c>
      <c r="C756">
        <v>-0.09651535870681401</v>
      </c>
      <c r="D756">
        <v>-0.201677511565802</v>
      </c>
      <c r="E756">
        <v>-0.320412181885129</v>
      </c>
      <c r="F756">
        <v>-0.513155040145116</v>
      </c>
      <c r="G756">
        <v>-0.420469904025993</v>
      </c>
      <c r="H756">
        <v>0.290548140941841</v>
      </c>
      <c r="I756">
        <v>-0.08780299123259401</v>
      </c>
    </row>
    <row r="757" spans="1:9">
      <c r="A757" s="1" t="s">
        <v>769</v>
      </c>
      <c r="B757">
        <f>HYPERLINK("https://www.suredividend.com/sure-analysis-research-database/","Harmonic, Inc.")</f>
        <v>0</v>
      </c>
      <c r="C757">
        <v>0.226363636363636</v>
      </c>
      <c r="D757">
        <v>0.4743169398907101</v>
      </c>
      <c r="E757">
        <v>0.5777777777777771</v>
      </c>
      <c r="F757">
        <v>0.147108843537415</v>
      </c>
      <c r="G757">
        <v>0.5595375722543351</v>
      </c>
      <c r="H757">
        <v>1.091472868217054</v>
      </c>
      <c r="I757">
        <v>3.282539682539682</v>
      </c>
    </row>
    <row r="758" spans="1:9">
      <c r="A758" s="1" t="s">
        <v>770</v>
      </c>
      <c r="B758">
        <f>HYPERLINK("https://www.suredividend.com/sure-analysis-research-database/","Hamilton Lane Inc")</f>
        <v>0</v>
      </c>
      <c r="C758">
        <v>-0.170900347374194</v>
      </c>
      <c r="D758">
        <v>-0.141826564668371</v>
      </c>
      <c r="E758">
        <v>-0.162928324514202</v>
      </c>
      <c r="F758">
        <v>-0.412661625983394</v>
      </c>
      <c r="G758">
        <v>-0.323822874577389</v>
      </c>
      <c r="H758">
        <v>-0.111680964952504</v>
      </c>
      <c r="I758">
        <v>1.438567331508278</v>
      </c>
    </row>
    <row r="759" spans="1:9">
      <c r="A759" s="1" t="s">
        <v>771</v>
      </c>
      <c r="B759">
        <f>HYPERLINK("https://www.suredividend.com/sure-analysis-research-database/","Cue Health Inc")</f>
        <v>0</v>
      </c>
      <c r="C759">
        <v>-0.08602150537634401</v>
      </c>
      <c r="D759">
        <v>-0.014492753623188</v>
      </c>
      <c r="E759">
        <v>-0.4197952218430031</v>
      </c>
      <c r="F759">
        <v>-0.746457867263236</v>
      </c>
      <c r="G759">
        <v>-0.687786960514233</v>
      </c>
      <c r="H759">
        <v>-0.8300000000000001</v>
      </c>
      <c r="I759">
        <v>-0.8300000000000001</v>
      </c>
    </row>
    <row r="760" spans="1:9">
      <c r="A760" s="1" t="s">
        <v>772</v>
      </c>
      <c r="B760">
        <f>HYPERLINK("https://www.suredividend.com/sure-analysis-research-database/","Helix Energy Solutions Group Inc")</f>
        <v>0</v>
      </c>
      <c r="C760">
        <v>-0.011363636363636</v>
      </c>
      <c r="D760">
        <v>0.47457627118644</v>
      </c>
      <c r="E760">
        <v>-0.13</v>
      </c>
      <c r="F760">
        <v>0.3942307692307691</v>
      </c>
      <c r="G760">
        <v>0</v>
      </c>
      <c r="H760">
        <v>0.581818181818181</v>
      </c>
      <c r="I760">
        <v>-0.430628272251308</v>
      </c>
    </row>
    <row r="761" spans="1:9">
      <c r="A761" s="1" t="s">
        <v>773</v>
      </c>
      <c r="B761">
        <f>HYPERLINK("https://www.suredividend.com/sure-analysis-research-database/","Horace Mann Educators Corp.")</f>
        <v>0</v>
      </c>
      <c r="C761">
        <v>0.01379196659157</v>
      </c>
      <c r="D761">
        <v>-0.010461221611097</v>
      </c>
      <c r="E761">
        <v>-0.071420123257025</v>
      </c>
      <c r="F761">
        <v>-0.02180137000827</v>
      </c>
      <c r="G761">
        <v>-0.070208107079773</v>
      </c>
      <c r="H761">
        <v>0.148656010210275</v>
      </c>
      <c r="I761">
        <v>0.07427020952636</v>
      </c>
    </row>
    <row r="762" spans="1:9">
      <c r="A762" s="1" t="s">
        <v>774</v>
      </c>
      <c r="B762">
        <f>HYPERLINK("https://www.suredividend.com/sure-analysis-research-database/","Home Point Capital Inc")</f>
        <v>0</v>
      </c>
      <c r="C762">
        <v>-0.191780821917808</v>
      </c>
      <c r="D762">
        <v>-0.551898734177215</v>
      </c>
      <c r="E762">
        <v>-0.433726845186678</v>
      </c>
      <c r="F762">
        <v>-0.5972604609888731</v>
      </c>
      <c r="G762">
        <v>-0.5498245078589951</v>
      </c>
      <c r="H762">
        <v>-0.8331353583347471</v>
      </c>
      <c r="I762">
        <v>-0.8331353583347471</v>
      </c>
    </row>
    <row r="763" spans="1:9">
      <c r="A763" s="1" t="s">
        <v>775</v>
      </c>
      <c r="B763">
        <f>HYPERLINK("https://www.suredividend.com/sure-analysis-research-database/","HomeStreet Inc")</f>
        <v>0</v>
      </c>
      <c r="C763">
        <v>-0.198263791654998</v>
      </c>
      <c r="D763">
        <v>-0.178813797534433</v>
      </c>
      <c r="E763">
        <v>-0.359155150261665</v>
      </c>
      <c r="F763">
        <v>-0.435003719937086</v>
      </c>
      <c r="G763">
        <v>-0.3074487359669471</v>
      </c>
      <c r="H763">
        <v>0.015712861557237</v>
      </c>
      <c r="I763">
        <v>0.06790503366344</v>
      </c>
    </row>
    <row r="764" spans="1:9">
      <c r="A764" s="1" t="s">
        <v>776</v>
      </c>
      <c r="B764">
        <f>HYPERLINK("https://www.suredividend.com/sure-analysis-research-database/","Hemisphere Media Group Inc")</f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>
      <c r="A765" s="1" t="s">
        <v>777</v>
      </c>
      <c r="B765">
        <f>HYPERLINK("https://www.suredividend.com/sure-analysis-research-database/","Hanger Inc")</f>
        <v>0</v>
      </c>
      <c r="C765">
        <v>0.003215434083601</v>
      </c>
      <c r="D765">
        <v>0.277815699658702</v>
      </c>
      <c r="E765">
        <v>0.026878771256171</v>
      </c>
      <c r="F765">
        <v>0.03254274682846101</v>
      </c>
      <c r="G765">
        <v>-0.162041181736795</v>
      </c>
      <c r="H765">
        <v>0.167810355583281</v>
      </c>
      <c r="I765">
        <v>0.4534161490683221</v>
      </c>
    </row>
    <row r="766" spans="1:9">
      <c r="A766" s="1" t="s">
        <v>778</v>
      </c>
      <c r="B766">
        <f>HYPERLINK("https://www.suredividend.com/sure-analysis-HNI/","HNI Corp.")</f>
        <v>0</v>
      </c>
      <c r="C766">
        <v>-0.142238713667285</v>
      </c>
      <c r="D766">
        <v>-0.18328411643648</v>
      </c>
      <c r="E766">
        <v>-0.192738722641438</v>
      </c>
      <c r="F766">
        <v>-0.323379977998873</v>
      </c>
      <c r="G766">
        <v>-0.241419480807147</v>
      </c>
      <c r="H766">
        <v>-0.153171029535221</v>
      </c>
      <c r="I766">
        <v>-0.213986172503683</v>
      </c>
    </row>
    <row r="767" spans="1:9">
      <c r="A767" s="1" t="s">
        <v>779</v>
      </c>
      <c r="B767">
        <f>HYPERLINK("https://www.suredividend.com/sure-analysis-research-database/","Honest Company Inc (The )")</f>
        <v>0</v>
      </c>
      <c r="C767">
        <v>-0.199052132701421</v>
      </c>
      <c r="D767">
        <v>0.030487804878048</v>
      </c>
      <c r="E767">
        <v>-0.268398268398268</v>
      </c>
      <c r="F767">
        <v>-0.582200247218788</v>
      </c>
      <c r="G767">
        <v>-0.646073298429319</v>
      </c>
      <c r="H767">
        <v>-0.853043478260869</v>
      </c>
      <c r="I767">
        <v>-0.853043478260869</v>
      </c>
    </row>
    <row r="768" spans="1:9">
      <c r="A768" s="1" t="s">
        <v>780</v>
      </c>
      <c r="B768">
        <f>HYPERLINK("https://www.suredividend.com/sure-analysis-research-database/","Hooker Furnishings Corporation")</f>
        <v>0</v>
      </c>
      <c r="C768">
        <v>-0.14041828987781</v>
      </c>
      <c r="D768">
        <v>-0.188822946335587</v>
      </c>
      <c r="E768">
        <v>-0.266877966082474</v>
      </c>
      <c r="F768">
        <v>-0.424053452115812</v>
      </c>
      <c r="G768">
        <v>-0.496157862742958</v>
      </c>
      <c r="H768">
        <v>-0.518958897586237</v>
      </c>
      <c r="I768">
        <v>-0.696504520744725</v>
      </c>
    </row>
    <row r="769" spans="1:9">
      <c r="A769" s="1" t="s">
        <v>781</v>
      </c>
      <c r="B769">
        <f>HYPERLINK("https://www.suredividend.com/sure-analysis-research-database/","Hall of Fame Resort &amp; Entertainment Company")</f>
        <v>0</v>
      </c>
      <c r="C769">
        <v>-0.170963172804532</v>
      </c>
      <c r="D769">
        <v>-0.05688043828553001</v>
      </c>
      <c r="E769">
        <v>-0.426176470588235</v>
      </c>
      <c r="F769">
        <v>-0.614934210526315</v>
      </c>
      <c r="G769">
        <v>-0.768656126482213</v>
      </c>
      <c r="H769">
        <v>-0.756124999999999</v>
      </c>
      <c r="I769">
        <v>-0.9370306616460461</v>
      </c>
    </row>
    <row r="770" spans="1:9">
      <c r="A770" s="1" t="s">
        <v>782</v>
      </c>
      <c r="B770">
        <f>HYPERLINK("https://www.suredividend.com/sure-analysis-research-database/","Home Bancshares Inc")</f>
        <v>0</v>
      </c>
      <c r="C770">
        <v>-0.002546689303904</v>
      </c>
      <c r="D770">
        <v>0.100187265917603</v>
      </c>
      <c r="E770">
        <v>0.09696211512967401</v>
      </c>
      <c r="F770">
        <v>-0.013699090084947</v>
      </c>
      <c r="G770">
        <v>-0.000199960007998</v>
      </c>
      <c r="H770">
        <v>0.455207475431763</v>
      </c>
      <c r="I770">
        <v>0.033566728827275</v>
      </c>
    </row>
    <row r="771" spans="1:9">
      <c r="A771" s="1" t="s">
        <v>783</v>
      </c>
      <c r="B771">
        <f>HYPERLINK("https://www.suredividend.com/sure-analysis-research-database/","HarborOne Bancorp Inc.")</f>
        <v>0</v>
      </c>
      <c r="C771">
        <v>-0.005054613060655</v>
      </c>
      <c r="D771">
        <v>-0.012192571976552</v>
      </c>
      <c r="E771">
        <v>0.020605807768523</v>
      </c>
      <c r="F771">
        <v>-0.059440607450328</v>
      </c>
      <c r="G771">
        <v>-0.010051231655237</v>
      </c>
      <c r="H771">
        <v>0.6019644527595881</v>
      </c>
      <c r="I771">
        <v>0.421899325376232</v>
      </c>
    </row>
    <row r="772" spans="1:9">
      <c r="A772" s="1" t="s">
        <v>784</v>
      </c>
      <c r="B772">
        <f>HYPERLINK("https://www.suredividend.com/sure-analysis-research-database/","Hookipa Pharma Inc")</f>
        <v>0</v>
      </c>
      <c r="C772">
        <v>0.015037593984962</v>
      </c>
      <c r="D772">
        <v>-0.27807486631016</v>
      </c>
      <c r="E772">
        <v>-0.262295081967213</v>
      </c>
      <c r="F772">
        <v>-0.4206008583690981</v>
      </c>
      <c r="G772">
        <v>-0.746240601503759</v>
      </c>
      <c r="H772">
        <v>-0.8566878980891711</v>
      </c>
      <c r="I772">
        <v>-0.903571428571428</v>
      </c>
    </row>
    <row r="773" spans="1:9">
      <c r="A773" s="1" t="s">
        <v>785</v>
      </c>
      <c r="B773">
        <f>HYPERLINK("https://www.suredividend.com/sure-analysis-research-database/","Hope Bancorp Inc")</f>
        <v>0</v>
      </c>
      <c r="C773">
        <v>-0.09388038942976301</v>
      </c>
      <c r="D773">
        <v>-0.065822585154967</v>
      </c>
      <c r="E773">
        <v>-0.134989444614097</v>
      </c>
      <c r="F773">
        <v>-0.08977233830011601</v>
      </c>
      <c r="G773">
        <v>-0.08731131579869</v>
      </c>
      <c r="H773">
        <v>0.7555205259825121</v>
      </c>
      <c r="I773">
        <v>-0.109193830671625</v>
      </c>
    </row>
    <row r="774" spans="1:9">
      <c r="A774" s="1" t="s">
        <v>786</v>
      </c>
      <c r="B774">
        <f>HYPERLINK("https://www.suredividend.com/sure-analysis-research-database/","Hovnanian Enterprises, Inc.")</f>
        <v>0</v>
      </c>
      <c r="C774">
        <v>-0.054950150707164</v>
      </c>
      <c r="D774">
        <v>-0.106140350877193</v>
      </c>
      <c r="E774">
        <v>-0.213734567901234</v>
      </c>
      <c r="F774">
        <v>-0.6797863147144311</v>
      </c>
      <c r="G774">
        <v>-0.505159645502003</v>
      </c>
      <c r="H774">
        <v>0.115489874110563</v>
      </c>
      <c r="I774">
        <v>-0.272142857142857</v>
      </c>
    </row>
    <row r="775" spans="1:9">
      <c r="A775" s="1" t="s">
        <v>787</v>
      </c>
      <c r="B775">
        <f>HYPERLINK("https://www.suredividend.com/sure-analysis-research-database/","Werewolf Therapeutics Inc")</f>
        <v>0</v>
      </c>
      <c r="C775">
        <v>-0.451482479784366</v>
      </c>
      <c r="D775">
        <v>-0.195652173913043</v>
      </c>
      <c r="E775">
        <v>-0.3078231292517</v>
      </c>
      <c r="F775">
        <v>-0.658270361041141</v>
      </c>
      <c r="G775">
        <v>-0.744025157232704</v>
      </c>
      <c r="H775">
        <v>-0.747204968944099</v>
      </c>
      <c r="I775">
        <v>-0.747204968944099</v>
      </c>
    </row>
    <row r="776" spans="1:9">
      <c r="A776" s="1" t="s">
        <v>788</v>
      </c>
      <c r="B776">
        <f>HYPERLINK("https://www.suredividend.com/sure-analysis-HP/","Helmerich &amp; Payne, Inc.")</f>
        <v>0</v>
      </c>
      <c r="C776">
        <v>-0.059399332591768</v>
      </c>
      <c r="D776">
        <v>-0.010387652783694</v>
      </c>
      <c r="E776">
        <v>-0.055573301405694</v>
      </c>
      <c r="F776">
        <v>0.8187136515365291</v>
      </c>
      <c r="G776">
        <v>0.414240748731431</v>
      </c>
      <c r="H776">
        <v>2.021661914052729</v>
      </c>
      <c r="I776">
        <v>0.037981582455459</v>
      </c>
    </row>
    <row r="777" spans="1:9">
      <c r="A777" s="1" t="s">
        <v>789</v>
      </c>
      <c r="B777">
        <f>HYPERLINK("https://www.suredividend.com/sure-analysis-research-database/","HighPeak Energy Inc")</f>
        <v>0</v>
      </c>
      <c r="C777">
        <v>-0.145502645502645</v>
      </c>
      <c r="D777">
        <v>-0.05931202050292</v>
      </c>
      <c r="E777">
        <v>0.015317325956827</v>
      </c>
      <c r="F777">
        <v>0.549426075038547</v>
      </c>
      <c r="G777">
        <v>0.987133289975567</v>
      </c>
      <c r="H777">
        <v>2.395506697903525</v>
      </c>
      <c r="I777">
        <v>2.350572753812184</v>
      </c>
    </row>
    <row r="778" spans="1:9">
      <c r="A778" s="1" t="s">
        <v>790</v>
      </c>
      <c r="B778">
        <f>HYPERLINK("https://www.suredividend.com/sure-analysis-research-database/","HireQuest Inc")</f>
        <v>0</v>
      </c>
      <c r="C778">
        <v>-0.127147766323024</v>
      </c>
      <c r="D778">
        <v>-0.14051555531493</v>
      </c>
      <c r="E778">
        <v>-0.3260346959461251</v>
      </c>
      <c r="F778">
        <v>-0.362801665746826</v>
      </c>
      <c r="G778">
        <v>-0.348470701702184</v>
      </c>
      <c r="H778">
        <v>0.7325111862926981</v>
      </c>
      <c r="I778">
        <v>20.89655172413793</v>
      </c>
    </row>
    <row r="779" spans="1:9">
      <c r="A779" s="1" t="s">
        <v>791</v>
      </c>
      <c r="B779">
        <f>HYPERLINK("https://www.suredividend.com/sure-analysis-research-database/","Healthequity Inc")</f>
        <v>0</v>
      </c>
      <c r="C779">
        <v>-0.002987750224081</v>
      </c>
      <c r="D779">
        <v>0.018309429356118</v>
      </c>
      <c r="E779">
        <v>-0.008173577054540001</v>
      </c>
      <c r="F779">
        <v>0.5085895117540681</v>
      </c>
      <c r="G779">
        <v>0.03216826476956301</v>
      </c>
      <c r="H779">
        <v>0.209057971014492</v>
      </c>
      <c r="I779">
        <v>0.299961044020256</v>
      </c>
    </row>
    <row r="780" spans="1:9">
      <c r="A780" s="1" t="s">
        <v>792</v>
      </c>
      <c r="B780">
        <f>HYPERLINK("https://www.suredividend.com/sure-analysis-HR/","Healthcare Realty Trust Inc")</f>
        <v>0</v>
      </c>
      <c r="C780">
        <v>-0.214140593254774</v>
      </c>
      <c r="D780">
        <v>-0.196496825871638</v>
      </c>
      <c r="E780">
        <v>-0.266863281753462</v>
      </c>
      <c r="F780">
        <v>-0.291331081031564</v>
      </c>
      <c r="G780">
        <v>-0.253786051895437</v>
      </c>
      <c r="H780">
        <v>-0.05039206925165501</v>
      </c>
      <c r="I780">
        <v>-0.046882161320368</v>
      </c>
    </row>
    <row r="781" spans="1:9">
      <c r="A781" s="1" t="s">
        <v>793</v>
      </c>
      <c r="B781">
        <f>HYPERLINK("https://www.suredividend.com/sure-analysis-research-database/","Herc Holdings Inc")</f>
        <v>0</v>
      </c>
      <c r="C781">
        <v>-0.055374047080505</v>
      </c>
      <c r="D781">
        <v>0.224365259558703</v>
      </c>
      <c r="E781">
        <v>-0.197051392698551</v>
      </c>
      <c r="F781">
        <v>-0.272602008924107</v>
      </c>
      <c r="G781">
        <v>-0.317180456682499</v>
      </c>
      <c r="H781">
        <v>1.487607189264196</v>
      </c>
      <c r="I781">
        <v>1.267749726989158</v>
      </c>
    </row>
    <row r="782" spans="1:9">
      <c r="A782" s="1" t="s">
        <v>794</v>
      </c>
      <c r="B782">
        <f>HYPERLINK("https://www.suredividend.com/sure-analysis-research-database/","Harmony Biosciences Holdings Inc")</f>
        <v>0</v>
      </c>
      <c r="C782">
        <v>0.006168900233992001</v>
      </c>
      <c r="D782">
        <v>-0.13607305936073</v>
      </c>
      <c r="E782">
        <v>-0.05001004217714401</v>
      </c>
      <c r="F782">
        <v>0.109287054409005</v>
      </c>
      <c r="G782">
        <v>0.308437067773167</v>
      </c>
      <c r="H782">
        <v>0.380215932302305</v>
      </c>
      <c r="I782">
        <v>0.278032964063766</v>
      </c>
    </row>
    <row r="783" spans="1:9">
      <c r="A783" s="1" t="s">
        <v>795</v>
      </c>
      <c r="B783">
        <f>HYPERLINK("https://www.suredividend.com/sure-analysis-research-database/","HireRight Holdings Corp")</f>
        <v>0</v>
      </c>
      <c r="C783">
        <v>-0.06388206388206301</v>
      </c>
      <c r="D783">
        <v>0.032520325203251</v>
      </c>
      <c r="E783">
        <v>0.056133056133056</v>
      </c>
      <c r="F783">
        <v>-0.047499999999999</v>
      </c>
      <c r="G783">
        <v>-0.116521739130434</v>
      </c>
      <c r="H783">
        <v>-0.116521739130434</v>
      </c>
      <c r="I783">
        <v>-0.116521739130434</v>
      </c>
    </row>
    <row r="784" spans="1:9">
      <c r="A784" s="1" t="s">
        <v>796</v>
      </c>
      <c r="B784">
        <f>HYPERLINK("https://www.suredividend.com/sure-analysis-research-database/","Heritage Insurance Holdings Inc.")</f>
        <v>0</v>
      </c>
      <c r="C784">
        <v>-0.352313167259786</v>
      </c>
      <c r="D784">
        <v>-0.354609929078014</v>
      </c>
      <c r="E784">
        <v>-0.7126164534975521</v>
      </c>
      <c r="F784">
        <v>-0.682318031069994</v>
      </c>
      <c r="G784">
        <v>-0.74008540051126</v>
      </c>
      <c r="H784">
        <v>-0.815250933896378</v>
      </c>
      <c r="I784">
        <v>-0.8611556125173551</v>
      </c>
    </row>
    <row r="785" spans="1:9">
      <c r="A785" s="1" t="s">
        <v>797</v>
      </c>
      <c r="B785">
        <f>HYPERLINK("https://www.suredividend.com/sure-analysis-research-database/","Heron Therapeutics Inc")</f>
        <v>0</v>
      </c>
      <c r="C785">
        <v>-0.260869565217391</v>
      </c>
      <c r="D785">
        <v>0.129909365558912</v>
      </c>
      <c r="E785">
        <v>-0.358490566037735</v>
      </c>
      <c r="F785">
        <v>-0.5903614457831321</v>
      </c>
      <c r="G785">
        <v>-0.630799605133267</v>
      </c>
      <c r="H785">
        <v>-0.7631412286257121</v>
      </c>
      <c r="I785">
        <v>-0.7712538226299691</v>
      </c>
    </row>
    <row r="786" spans="1:9">
      <c r="A786" s="1" t="s">
        <v>798</v>
      </c>
      <c r="B786">
        <f>HYPERLINK("https://www.suredividend.com/sure-analysis-research-database/","Harsco Corp.")</f>
        <v>0</v>
      </c>
      <c r="C786">
        <v>-0.253781512605042</v>
      </c>
      <c r="D786">
        <v>-0.323170731707317</v>
      </c>
      <c r="E786">
        <v>-0.60427807486631</v>
      </c>
      <c r="F786">
        <v>-0.7342908438061041</v>
      </c>
      <c r="G786">
        <v>-0.738361814967589</v>
      </c>
      <c r="H786">
        <v>-0.706154864328259</v>
      </c>
      <c r="I786">
        <v>-0.78755980861244</v>
      </c>
    </row>
    <row r="787" spans="1:9">
      <c r="A787" s="1" t="s">
        <v>799</v>
      </c>
      <c r="B787">
        <f>HYPERLINK("https://www.suredividend.com/sure-analysis-research-database/","Heidrick &amp; Struggles International, Inc.")</f>
        <v>0</v>
      </c>
      <c r="C787">
        <v>0.005822416302765</v>
      </c>
      <c r="D787">
        <v>-0.134003822414387</v>
      </c>
      <c r="E787">
        <v>-0.277704752671368</v>
      </c>
      <c r="F787">
        <v>-0.359777636226764</v>
      </c>
      <c r="G787">
        <v>-0.429531448007694</v>
      </c>
      <c r="H787">
        <v>0.331342420885314</v>
      </c>
      <c r="I787">
        <v>0.4105639193671851</v>
      </c>
    </row>
    <row r="788" spans="1:9">
      <c r="A788" s="1" t="s">
        <v>800</v>
      </c>
      <c r="B788">
        <f>HYPERLINK("https://www.suredividend.com/sure-analysis-research-database/","Heska Corp.")</f>
        <v>0</v>
      </c>
      <c r="C788">
        <v>-0.211146253680881</v>
      </c>
      <c r="D788">
        <v>-0.263666904204418</v>
      </c>
      <c r="E788">
        <v>-0.501206813323219</v>
      </c>
      <c r="F788">
        <v>-0.60364951504192</v>
      </c>
      <c r="G788">
        <v>-0.719759783029833</v>
      </c>
      <c r="H788">
        <v>-0.326097083760365</v>
      </c>
      <c r="I788">
        <v>-0.265013718118077</v>
      </c>
    </row>
    <row r="789" spans="1:9">
      <c r="A789" s="1" t="s">
        <v>801</v>
      </c>
      <c r="B789">
        <f>HYPERLINK("https://www.suredividend.com/sure-analysis-research-database/","Healthstream Inc")</f>
        <v>0</v>
      </c>
      <c r="C789">
        <v>-0.06586559857587801</v>
      </c>
      <c r="D789">
        <v>-0.051513782196113</v>
      </c>
      <c r="E789">
        <v>0.048975512243877</v>
      </c>
      <c r="F789">
        <v>-0.203717754172989</v>
      </c>
      <c r="G789">
        <v>-0.259873060648801</v>
      </c>
      <c r="H789">
        <v>-0.01824134705332</v>
      </c>
      <c r="I789">
        <v>-0.06202939481010401</v>
      </c>
    </row>
    <row r="790" spans="1:9">
      <c r="A790" s="1" t="s">
        <v>802</v>
      </c>
      <c r="B790">
        <f>HYPERLINK("https://www.suredividend.com/sure-analysis-research-database/","Hersha Hospitality Trust")</f>
        <v>0</v>
      </c>
      <c r="C790">
        <v>-0.245184548028878</v>
      </c>
      <c r="D790">
        <v>-0.182353064343893</v>
      </c>
      <c r="E790">
        <v>-0.054433628747154</v>
      </c>
      <c r="F790">
        <v>-0.14311419292548</v>
      </c>
      <c r="G790">
        <v>-0.110123625591067</v>
      </c>
      <c r="H790">
        <v>0.413242133072761</v>
      </c>
      <c r="I790">
        <v>-0.484814902767883</v>
      </c>
    </row>
    <row r="791" spans="1:9">
      <c r="A791" s="1" t="s">
        <v>803</v>
      </c>
      <c r="B791">
        <f>HYPERLINK("https://www.suredividend.com/sure-analysis-research-database/","HomeTrust Bancshares Inc")</f>
        <v>0</v>
      </c>
      <c r="C791">
        <v>-0.027814569536423</v>
      </c>
      <c r="D791">
        <v>-0.130695680323403</v>
      </c>
      <c r="E791">
        <v>-0.224459463742951</v>
      </c>
      <c r="F791">
        <v>-0.282203069380517</v>
      </c>
      <c r="G791">
        <v>-0.253128921751517</v>
      </c>
      <c r="H791">
        <v>0.5183274953802021</v>
      </c>
      <c r="I791">
        <v>-0.125857469512195</v>
      </c>
    </row>
    <row r="792" spans="1:9">
      <c r="A792" s="1" t="s">
        <v>804</v>
      </c>
      <c r="B792">
        <f>HYPERLINK("https://www.suredividend.com/sure-analysis-research-database/","Heritage Commerce Corp.")</f>
        <v>0</v>
      </c>
      <c r="C792">
        <v>0.054451166810717</v>
      </c>
      <c r="D792">
        <v>0.126542069882544</v>
      </c>
      <c r="E792">
        <v>0.129577334382667</v>
      </c>
      <c r="F792">
        <v>0.056359369994198</v>
      </c>
      <c r="G792">
        <v>0.07213160854893101</v>
      </c>
      <c r="H792">
        <v>0.8616858939144231</v>
      </c>
      <c r="I792">
        <v>0.028650444343265</v>
      </c>
    </row>
    <row r="793" spans="1:9">
      <c r="A793" s="1" t="s">
        <v>805</v>
      </c>
      <c r="B793">
        <f>HYPERLINK("https://www.suredividend.com/sure-analysis-research-database/","Hilltop Holdings Inc")</f>
        <v>0</v>
      </c>
      <c r="C793">
        <v>-0.055659320134478</v>
      </c>
      <c r="D793">
        <v>-0.05076243152009401</v>
      </c>
      <c r="E793">
        <v>-0.08512863569084</v>
      </c>
      <c r="F793">
        <v>-0.269792578342764</v>
      </c>
      <c r="G793">
        <v>-0.234792716001549</v>
      </c>
      <c r="H793">
        <v>0.229195334114546</v>
      </c>
      <c r="I793">
        <v>0.039678883990261</v>
      </c>
    </row>
    <row r="794" spans="1:9">
      <c r="A794" s="1" t="s">
        <v>806</v>
      </c>
      <c r="B794">
        <f>HYPERLINK("https://www.suredividend.com/sure-analysis-research-database/","Heartland Express, Inc.")</f>
        <v>0</v>
      </c>
      <c r="C794">
        <v>-0.00945061510469</v>
      </c>
      <c r="D794">
        <v>0.042865413893912</v>
      </c>
      <c r="E794">
        <v>0.12900355183434</v>
      </c>
      <c r="F794">
        <v>-0.128882414052517</v>
      </c>
      <c r="G794">
        <v>-0.08771447151218001</v>
      </c>
      <c r="H794">
        <v>-0.263272705238388</v>
      </c>
      <c r="I794">
        <v>-0.3707463922505621</v>
      </c>
    </row>
    <row r="795" spans="1:9">
      <c r="A795" s="1" t="s">
        <v>807</v>
      </c>
      <c r="B795">
        <f>HYPERLINK("https://www.suredividend.com/sure-analysis-research-database/","Heartland Financial USA, Inc.")</f>
        <v>0</v>
      </c>
      <c r="C795">
        <v>-0.038401077924994</v>
      </c>
      <c r="D795">
        <v>0.030446542878319</v>
      </c>
      <c r="E795">
        <v>-0.04519385998555001</v>
      </c>
      <c r="F795">
        <v>-0.138960720361306</v>
      </c>
      <c r="G795">
        <v>-0.13004081616068</v>
      </c>
      <c r="H795">
        <v>0.326460438518775</v>
      </c>
      <c r="I795">
        <v>-0.07293342310998101</v>
      </c>
    </row>
    <row r="796" spans="1:9">
      <c r="A796" s="1" t="s">
        <v>808</v>
      </c>
      <c r="B796">
        <f>HYPERLINK("https://www.suredividend.com/sure-analysis-research-database/","Hub Group, Inc.")</f>
        <v>0</v>
      </c>
      <c r="C796">
        <v>-0.09749904786086001</v>
      </c>
      <c r="D796">
        <v>0.006370328425821001</v>
      </c>
      <c r="E796">
        <v>0.158383575036662</v>
      </c>
      <c r="F796">
        <v>-0.156101614434947</v>
      </c>
      <c r="G796">
        <v>0.004805653710247</v>
      </c>
      <c r="H796">
        <v>0.323836126629422</v>
      </c>
      <c r="I796">
        <v>0.768407960199005</v>
      </c>
    </row>
    <row r="797" spans="1:9">
      <c r="A797" s="1" t="s">
        <v>809</v>
      </c>
      <c r="B797">
        <f>HYPERLINK("https://www.suredividend.com/sure-analysis-research-database/","Huron Consulting Group Inc")</f>
        <v>0</v>
      </c>
      <c r="C797">
        <v>0.06408687672070901</v>
      </c>
      <c r="D797">
        <v>0.09129411764705801</v>
      </c>
      <c r="E797">
        <v>0.373543928923988</v>
      </c>
      <c r="F797">
        <v>0.394188376753506</v>
      </c>
      <c r="G797">
        <v>0.38337641678266</v>
      </c>
      <c r="H797">
        <v>0.6548525214081821</v>
      </c>
      <c r="I797">
        <v>0.9034199726402181</v>
      </c>
    </row>
    <row r="798" spans="1:9">
      <c r="A798" s="1" t="s">
        <v>810</v>
      </c>
      <c r="B798">
        <f>HYPERLINK("https://www.suredividend.com/sure-analysis-research-database/","Haverty Furniture Cos., Inc.")</f>
        <v>0</v>
      </c>
      <c r="C798">
        <v>-0.07032400589101601</v>
      </c>
      <c r="D798">
        <v>0.025326581743907</v>
      </c>
      <c r="E798">
        <v>-0.035084702366621</v>
      </c>
      <c r="F798">
        <v>-0.150780945206032</v>
      </c>
      <c r="G798">
        <v>-0.246520566258444</v>
      </c>
      <c r="H798">
        <v>0.116969981155278</v>
      </c>
      <c r="I798">
        <v>0.2990153206638611</v>
      </c>
    </row>
    <row r="799" spans="1:9">
      <c r="A799" s="1" t="s">
        <v>811</v>
      </c>
      <c r="B799">
        <f>HYPERLINK("https://www.suredividend.com/sure-analysis-research-database/","Hancock Whitney Corp.")</f>
        <v>0</v>
      </c>
      <c r="C799">
        <v>-0.05652087078090601</v>
      </c>
      <c r="D799">
        <v>0.061320224845317</v>
      </c>
      <c r="E799">
        <v>-0.021305864706515</v>
      </c>
      <c r="F799">
        <v>-0.040551134724981</v>
      </c>
      <c r="G799">
        <v>-0.02528602820563</v>
      </c>
      <c r="H799">
        <v>1.251721919016182</v>
      </c>
      <c r="I799">
        <v>-0.030833208528831</v>
      </c>
    </row>
    <row r="800" spans="1:9">
      <c r="A800" s="1" t="s">
        <v>812</v>
      </c>
      <c r="B800">
        <f>HYPERLINK("https://www.suredividend.com/sure-analysis-research-database/","Hawkins Inc")</f>
        <v>0</v>
      </c>
      <c r="C800">
        <v>0.011524358302776</v>
      </c>
      <c r="D800">
        <v>0.127854681385433</v>
      </c>
      <c r="E800">
        <v>-0.06779374634914001</v>
      </c>
      <c r="F800">
        <v>-0.010869676573337</v>
      </c>
      <c r="G800">
        <v>0.05687474857491501</v>
      </c>
      <c r="H800">
        <v>0.657055572718223</v>
      </c>
      <c r="I800">
        <v>1.068337617823478</v>
      </c>
    </row>
    <row r="801" spans="1:9">
      <c r="A801" s="1" t="s">
        <v>813</v>
      </c>
      <c r="B801">
        <f>HYPERLINK("https://www.suredividend.com/sure-analysis-research-database/","Hyster-Yale Materials Handling Inc")</f>
        <v>0</v>
      </c>
      <c r="C801">
        <v>-0.259459459459459</v>
      </c>
      <c r="D801">
        <v>-0.313579968559958</v>
      </c>
      <c r="E801">
        <v>-0.302561622435116</v>
      </c>
      <c r="F801">
        <v>-0.456059158529473</v>
      </c>
      <c r="G801">
        <v>-0.545130069558576</v>
      </c>
      <c r="H801">
        <v>-0.4589297571354871</v>
      </c>
      <c r="I801">
        <v>-0.6950035967869631</v>
      </c>
    </row>
    <row r="802" spans="1:9">
      <c r="A802" s="1" t="s">
        <v>814</v>
      </c>
      <c r="B802">
        <f>HYPERLINK("https://www.suredividend.com/sure-analysis-research-database/","Hydrofarm Holdings Group Inc")</f>
        <v>0</v>
      </c>
      <c r="C802">
        <v>-0.282467532467532</v>
      </c>
      <c r="D802">
        <v>-0.384401114206128</v>
      </c>
      <c r="E802">
        <v>-0.83155487804878</v>
      </c>
      <c r="F802">
        <v>-0.921880523153057</v>
      </c>
      <c r="G802">
        <v>-0.9425974025974021</v>
      </c>
      <c r="H802">
        <v>-0.9574918253510291</v>
      </c>
      <c r="I802">
        <v>-0.9574918253510291</v>
      </c>
    </row>
    <row r="803" spans="1:9">
      <c r="A803" s="1" t="s">
        <v>815</v>
      </c>
      <c r="B803">
        <f>HYPERLINK("https://www.suredividend.com/sure-analysis-research-database/","Hyliion Holdings Corporation")</f>
        <v>0</v>
      </c>
      <c r="C803">
        <v>-0.24375</v>
      </c>
      <c r="D803">
        <v>-0.340599455040872</v>
      </c>
      <c r="E803">
        <v>-0.379487179487179</v>
      </c>
      <c r="F803">
        <v>-0.6096774193548381</v>
      </c>
      <c r="G803">
        <v>-0.6905370843989771</v>
      </c>
      <c r="H803">
        <v>-0.9186007399932721</v>
      </c>
      <c r="I803">
        <v>-0.7505154639175251</v>
      </c>
    </row>
    <row r="804" spans="1:9">
      <c r="A804" s="1" t="s">
        <v>816</v>
      </c>
      <c r="B804">
        <f>HYPERLINK("https://www.suredividend.com/sure-analysis-research-database/","HyreCar Inc")</f>
        <v>0</v>
      </c>
      <c r="C804">
        <v>-0.422824427480916</v>
      </c>
      <c r="D804">
        <v>0.031373618878734</v>
      </c>
      <c r="E804">
        <v>-0.6311707317073171</v>
      </c>
      <c r="F804">
        <v>-0.8394692144373671</v>
      </c>
      <c r="G804">
        <v>-0.90722699386503</v>
      </c>
      <c r="H804">
        <v>-0.8100251256281401</v>
      </c>
      <c r="I804">
        <v>-0.8517450980392151</v>
      </c>
    </row>
    <row r="805" spans="1:9">
      <c r="A805" s="1" t="s">
        <v>817</v>
      </c>
      <c r="B805">
        <f>HYPERLINK("https://www.suredividend.com/sure-analysis-research-database/","Marinemax, Inc.")</f>
        <v>0</v>
      </c>
      <c r="C805">
        <v>-0.150724637681159</v>
      </c>
      <c r="D805">
        <v>-0.251787538304392</v>
      </c>
      <c r="E805">
        <v>-0.249487704918032</v>
      </c>
      <c r="F805">
        <v>-0.5037262872628721</v>
      </c>
      <c r="G805">
        <v>-0.402406689781766</v>
      </c>
      <c r="H805">
        <v>0.137422360248447</v>
      </c>
      <c r="I805">
        <v>0.7492537313432831</v>
      </c>
    </row>
    <row r="806" spans="1:9">
      <c r="A806" s="1" t="s">
        <v>818</v>
      </c>
      <c r="B806">
        <f>HYPERLINK("https://www.suredividend.com/sure-analysis-research-database/","Integral Ad Science Holding Corp")</f>
        <v>0</v>
      </c>
      <c r="C806">
        <v>-0.114086146682188</v>
      </c>
      <c r="D806">
        <v>-0.262596899224806</v>
      </c>
      <c r="E806">
        <v>-0.45093795093795</v>
      </c>
      <c r="F806">
        <v>-0.657361548851868</v>
      </c>
      <c r="G806">
        <v>-0.6579775280898871</v>
      </c>
      <c r="H806">
        <v>-0.63022351797862</v>
      </c>
      <c r="I806">
        <v>-0.63022351797862</v>
      </c>
    </row>
    <row r="807" spans="1:9">
      <c r="A807" s="1" t="s">
        <v>819</v>
      </c>
      <c r="B807">
        <f>HYPERLINK("https://www.suredividend.com/sure-analysis-research-database/","Independent Bank Corporation (Ionia, MI)")</f>
        <v>0</v>
      </c>
      <c r="C807">
        <v>-0.043994068215521</v>
      </c>
      <c r="D807">
        <v>0.00393475981354</v>
      </c>
      <c r="E807">
        <v>-0.066476164732685</v>
      </c>
      <c r="F807">
        <v>-0.164499434071488</v>
      </c>
      <c r="G807">
        <v>-0.08824333625623401</v>
      </c>
      <c r="H807">
        <v>0.480211546262351</v>
      </c>
      <c r="I807">
        <v>0.020865994183069</v>
      </c>
    </row>
    <row r="808" spans="1:9">
      <c r="A808" s="1" t="s">
        <v>820</v>
      </c>
      <c r="B808">
        <f>HYPERLINK("https://www.suredividend.com/sure-analysis-research-database/","IBEX Ltd")</f>
        <v>0</v>
      </c>
      <c r="C808">
        <v>0.0546875</v>
      </c>
      <c r="D808">
        <v>-0.006791171477079001</v>
      </c>
      <c r="E808">
        <v>0.117122851686823</v>
      </c>
      <c r="F808">
        <v>0.361520558572536</v>
      </c>
      <c r="G808">
        <v>0.025715955581531</v>
      </c>
      <c r="H808">
        <v>0.03235294117647</v>
      </c>
      <c r="I808">
        <v>0.139610389610389</v>
      </c>
    </row>
    <row r="809" spans="1:9">
      <c r="A809" s="1" t="s">
        <v>821</v>
      </c>
      <c r="B809">
        <f>HYPERLINK("https://www.suredividend.com/sure-analysis-research-database/","iBio Inc")</f>
        <v>0</v>
      </c>
      <c r="C809">
        <v>-0.5713276836158191</v>
      </c>
      <c r="D809">
        <v>-0.5774451792551341</v>
      </c>
      <c r="E809">
        <v>-0.6763529725406551</v>
      </c>
      <c r="F809">
        <v>-0.7788706739526411</v>
      </c>
      <c r="G809">
        <v>-0.873224728487886</v>
      </c>
      <c r="H809">
        <v>-0.9407804878048781</v>
      </c>
      <c r="I809">
        <v>-0.9612140575079871</v>
      </c>
    </row>
    <row r="810" spans="1:9">
      <c r="A810" s="1" t="s">
        <v>822</v>
      </c>
      <c r="B810">
        <f>HYPERLINK("https://www.suredividend.com/sure-analysis-research-database/","International Bancshares Corp.")</f>
        <v>0</v>
      </c>
      <c r="C810">
        <v>0.060252441057394</v>
      </c>
      <c r="D810">
        <v>0.113905047851379</v>
      </c>
      <c r="E810">
        <v>0.122499149048825</v>
      </c>
      <c r="F810">
        <v>0.07930412521091501</v>
      </c>
      <c r="G810">
        <v>0.07197291655129001</v>
      </c>
      <c r="H810">
        <v>0.649652616952292</v>
      </c>
      <c r="I810">
        <v>0.219495492632899</v>
      </c>
    </row>
    <row r="811" spans="1:9">
      <c r="A811" s="1" t="s">
        <v>823</v>
      </c>
      <c r="B811">
        <f>HYPERLINK("https://www.suredividend.com/sure-analysis-research-database/","Installed Building Products Inc")</f>
        <v>0</v>
      </c>
      <c r="C811">
        <v>-0.051690522192578</v>
      </c>
      <c r="D811">
        <v>-0.040847272002076</v>
      </c>
      <c r="E811">
        <v>0.116004008229055</v>
      </c>
      <c r="F811">
        <v>-0.373628972115612</v>
      </c>
      <c r="G811">
        <v>-0.172490027394626</v>
      </c>
      <c r="H811">
        <v>-0.255478404203706</v>
      </c>
      <c r="I811">
        <v>0.359726570026944</v>
      </c>
    </row>
    <row r="812" spans="1:9">
      <c r="A812" s="1" t="s">
        <v>824</v>
      </c>
      <c r="B812">
        <f>HYPERLINK("https://www.suredividend.com/sure-analysis-research-database/","ImmunityBio Inc")</f>
        <v>0</v>
      </c>
      <c r="C812">
        <v>0.08189655172413701</v>
      </c>
      <c r="D812">
        <v>0.05020920502092</v>
      </c>
      <c r="E812">
        <v>-0.025242718446602</v>
      </c>
      <c r="F812">
        <v>-0.174342105263157</v>
      </c>
      <c r="G812">
        <v>-0.4301929625425651</v>
      </c>
      <c r="H812">
        <v>-0.425629290617849</v>
      </c>
      <c r="I812">
        <v>-0.01953125</v>
      </c>
    </row>
    <row r="813" spans="1:9">
      <c r="A813" s="1" t="s">
        <v>825</v>
      </c>
      <c r="B813">
        <f>HYPERLINK("https://www.suredividend.com/sure-analysis-research-database/","Independent Bank Group Inc")</f>
        <v>0</v>
      </c>
      <c r="C813">
        <v>-0.051320083061406</v>
      </c>
      <c r="D813">
        <v>-0.06367068612912101</v>
      </c>
      <c r="E813">
        <v>-0.06484118675688701</v>
      </c>
      <c r="F813">
        <v>-0.09951258795802201</v>
      </c>
      <c r="G813">
        <v>-0.114617940199335</v>
      </c>
      <c r="H813">
        <v>0.401743193458531</v>
      </c>
      <c r="I813">
        <v>0.128840679210517</v>
      </c>
    </row>
    <row r="814" spans="1:9">
      <c r="A814" s="1" t="s">
        <v>826</v>
      </c>
      <c r="B814">
        <f>HYPERLINK("https://www.suredividend.com/sure-analysis-research-database/","Icad Inc")</f>
        <v>0</v>
      </c>
      <c r="C814">
        <v>-0.268817204301075</v>
      </c>
      <c r="D814">
        <v>-0.52112676056338</v>
      </c>
      <c r="E814">
        <v>-0.4673629242819841</v>
      </c>
      <c r="F814">
        <v>-0.716666666666666</v>
      </c>
      <c r="G814">
        <v>-0.810055865921787</v>
      </c>
      <c r="H814">
        <v>-0.7949748743718591</v>
      </c>
      <c r="I814">
        <v>-0.5687103594080331</v>
      </c>
    </row>
    <row r="815" spans="1:9">
      <c r="A815" s="1" t="s">
        <v>827</v>
      </c>
      <c r="B815">
        <f>HYPERLINK("https://www.suredividend.com/sure-analysis-research-database/","ICF International, Inc")</f>
        <v>0</v>
      </c>
      <c r="C815">
        <v>0.077835150124306</v>
      </c>
      <c r="D815">
        <v>0.19734273192142</v>
      </c>
      <c r="E815">
        <v>0.159299853647649</v>
      </c>
      <c r="F815">
        <v>0.103904307400918</v>
      </c>
      <c r="G815">
        <v>0.169099351664296</v>
      </c>
      <c r="H815">
        <v>0.698035328534887</v>
      </c>
      <c r="I815">
        <v>1.105715433257675</v>
      </c>
    </row>
    <row r="816" spans="1:9">
      <c r="A816" s="1" t="s">
        <v>828</v>
      </c>
      <c r="B816">
        <f>HYPERLINK("https://www.suredividend.com/sure-analysis-research-database/","Ichor Holdings Ltd")</f>
        <v>0</v>
      </c>
      <c r="C816">
        <v>-0.177500842034355</v>
      </c>
      <c r="D816">
        <v>-0.04795321637426801</v>
      </c>
      <c r="E816">
        <v>-0.198292843072882</v>
      </c>
      <c r="F816">
        <v>-0.46947642841625</v>
      </c>
      <c r="G816">
        <v>-0.3901098901098901</v>
      </c>
      <c r="H816">
        <v>-0.067226890756302</v>
      </c>
      <c r="I816">
        <v>-0.187354409317803</v>
      </c>
    </row>
    <row r="817" spans="1:9">
      <c r="A817" s="1" t="s">
        <v>829</v>
      </c>
      <c r="B817">
        <f>HYPERLINK("https://www.suredividend.com/sure-analysis-research-database/","Intercept Pharmaceuticals Inc")</f>
        <v>0</v>
      </c>
      <c r="C817">
        <v>-0.225882352941176</v>
      </c>
      <c r="D817">
        <v>-0.142671009771987</v>
      </c>
      <c r="E817">
        <v>-0.252697331061896</v>
      </c>
      <c r="F817">
        <v>-0.192142418661755</v>
      </c>
      <c r="G817">
        <v>-0.122666666666666</v>
      </c>
      <c r="H817">
        <v>-0.6416122004357291</v>
      </c>
      <c r="I817">
        <v>-0.808247122249744</v>
      </c>
    </row>
    <row r="818" spans="1:9">
      <c r="A818" s="1" t="s">
        <v>830</v>
      </c>
      <c r="B818">
        <f>HYPERLINK("https://www.suredividend.com/sure-analysis-research-database/","Icosavax Inc")</f>
        <v>0</v>
      </c>
      <c r="C818">
        <v>-0.350104821802934</v>
      </c>
      <c r="D818">
        <v>-0.609079445145018</v>
      </c>
      <c r="E818">
        <v>-0.659340659340659</v>
      </c>
      <c r="F818">
        <v>-0.864510489510489</v>
      </c>
      <c r="G818">
        <v>-0.8979927607765711</v>
      </c>
      <c r="H818">
        <v>-0.9113525879325131</v>
      </c>
      <c r="I818">
        <v>-0.9113525879325131</v>
      </c>
    </row>
    <row r="819" spans="1:9">
      <c r="A819" s="1" t="s">
        <v>831</v>
      </c>
      <c r="B819">
        <f>HYPERLINK("https://www.suredividend.com/sure-analysis-research-database/","Interdigital Inc")</f>
        <v>0</v>
      </c>
      <c r="C819">
        <v>-0.012759321891034</v>
      </c>
      <c r="D819">
        <v>-0.251688293434024</v>
      </c>
      <c r="E819">
        <v>-0.212014383891118</v>
      </c>
      <c r="F819">
        <v>-0.330130542329744</v>
      </c>
      <c r="G819">
        <v>-0.291846791015447</v>
      </c>
      <c r="H819">
        <v>-0.188006412756185</v>
      </c>
      <c r="I819">
        <v>-0.304379071089934</v>
      </c>
    </row>
    <row r="820" spans="1:9">
      <c r="A820" s="1" t="s">
        <v>832</v>
      </c>
      <c r="B820">
        <f>HYPERLINK("https://www.suredividend.com/sure-analysis-research-database/","Ideanomics Inc")</f>
        <v>0</v>
      </c>
      <c r="C820">
        <v>-0.580615097856477</v>
      </c>
      <c r="D820">
        <v>-0.6911037891268531</v>
      </c>
      <c r="E820">
        <v>-0.753910095154763</v>
      </c>
      <c r="F820">
        <v>-0.8125</v>
      </c>
      <c r="G820">
        <v>-0.881578947368421</v>
      </c>
      <c r="H820">
        <v>-0.7741644083107491</v>
      </c>
      <c r="I820">
        <v>-0.906639004149377</v>
      </c>
    </row>
    <row r="821" spans="1:9">
      <c r="A821" s="1" t="s">
        <v>833</v>
      </c>
      <c r="B821">
        <f>HYPERLINK("https://www.suredividend.com/sure-analysis-research-database/","IDT Corp.")</f>
        <v>0</v>
      </c>
      <c r="C821">
        <v>0.180637544273907</v>
      </c>
      <c r="D821">
        <v>0.199040767386091</v>
      </c>
      <c r="E821">
        <v>-0.05422446406052901</v>
      </c>
      <c r="F821">
        <v>-0.320652173913043</v>
      </c>
      <c r="G821">
        <v>-0.406058206295783</v>
      </c>
      <c r="H821">
        <v>1.722323049001814</v>
      </c>
      <c r="I821">
        <v>2.577860201075743</v>
      </c>
    </row>
    <row r="822" spans="1:9">
      <c r="A822" s="1" t="s">
        <v>834</v>
      </c>
      <c r="B822">
        <f>HYPERLINK("https://www.suredividend.com/sure-analysis-research-database/","Ideaya Biosciences Inc")</f>
        <v>0</v>
      </c>
      <c r="C822">
        <v>0.6205405405405401</v>
      </c>
      <c r="D822">
        <v>-0.028515878159429</v>
      </c>
      <c r="E822">
        <v>0.326548672566371</v>
      </c>
      <c r="F822">
        <v>-0.365905245346869</v>
      </c>
      <c r="G822">
        <v>-0.4139953088350271</v>
      </c>
      <c r="H822">
        <v>0.064630681818181</v>
      </c>
      <c r="I822">
        <v>0.3395889186773901</v>
      </c>
    </row>
    <row r="823" spans="1:9">
      <c r="A823" s="1" t="s">
        <v>835</v>
      </c>
      <c r="B823">
        <f>HYPERLINK("https://www.suredividend.com/sure-analysis-research-database/","Infrastructure and Energy Alternatives Inc")</f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>
      <c r="A824" s="1" t="s">
        <v>836</v>
      </c>
      <c r="B824">
        <f>HYPERLINK("https://www.suredividend.com/sure-analysis-research-database/","IES Holdings Inc")</f>
        <v>0</v>
      </c>
      <c r="C824">
        <v>-0.037183283974991</v>
      </c>
      <c r="D824">
        <v>-0.063679999999999</v>
      </c>
      <c r="E824">
        <v>-0.230809674027339</v>
      </c>
      <c r="F824">
        <v>-0.422195892575039</v>
      </c>
      <c r="G824">
        <v>-0.367761452031115</v>
      </c>
      <c r="H824">
        <v>-0.217437817598288</v>
      </c>
      <c r="I824">
        <v>0.544063324538258</v>
      </c>
    </row>
    <row r="825" spans="1:9">
      <c r="A825" s="1" t="s">
        <v>837</v>
      </c>
      <c r="B825">
        <f>HYPERLINK("https://www.suredividend.com/sure-analysis-research-database/","IGM Biosciences Inc")</f>
        <v>0</v>
      </c>
      <c r="C825">
        <v>0.004235294117647</v>
      </c>
      <c r="D825">
        <v>0.028433734939758</v>
      </c>
      <c r="E825">
        <v>-0.012494215640906</v>
      </c>
      <c r="F825">
        <v>-0.272417320150016</v>
      </c>
      <c r="G825">
        <v>-0.664992150706436</v>
      </c>
      <c r="H825">
        <v>-0.710722515927883</v>
      </c>
      <c r="I825">
        <v>-0.121810699588477</v>
      </c>
    </row>
    <row r="826" spans="1:9">
      <c r="A826" s="1" t="s">
        <v>838</v>
      </c>
      <c r="B826">
        <f>HYPERLINK("https://www.suredividend.com/sure-analysis-research-database/","International Game Technology PLC")</f>
        <v>0</v>
      </c>
      <c r="C826">
        <v>-0.09256286784376601</v>
      </c>
      <c r="D826">
        <v>-0.048852846992053</v>
      </c>
      <c r="E826">
        <v>-0.250373487266073</v>
      </c>
      <c r="F826">
        <v>-0.397091392555358</v>
      </c>
      <c r="G826">
        <v>-0.37761696287353</v>
      </c>
      <c r="H826">
        <v>0.525413057751634</v>
      </c>
      <c r="I826">
        <v>-0.161736431349871</v>
      </c>
    </row>
    <row r="827" spans="1:9">
      <c r="A827" s="1" t="s">
        <v>839</v>
      </c>
      <c r="B827">
        <f>HYPERLINK("https://www.suredividend.com/sure-analysis-research-database/","iHeartMedia Inc")</f>
        <v>0</v>
      </c>
      <c r="C827">
        <v>-0.306451612903225</v>
      </c>
      <c r="D827">
        <v>0.015277777777777</v>
      </c>
      <c r="E827">
        <v>-0.609717031500266</v>
      </c>
      <c r="F827">
        <v>-0.6525665399239541</v>
      </c>
      <c r="G827">
        <v>-0.694397993311036</v>
      </c>
      <c r="H827">
        <v>-0.100861008610086</v>
      </c>
      <c r="I827">
        <v>-0.556969696969697</v>
      </c>
    </row>
    <row r="828" spans="1:9">
      <c r="A828" s="1" t="s">
        <v>840</v>
      </c>
      <c r="B828">
        <f>HYPERLINK("https://www.suredividend.com/sure-analysis-research-database/","Insteel Industries, Inc.")</f>
        <v>0</v>
      </c>
      <c r="C828">
        <v>-0.041740495374924</v>
      </c>
      <c r="D828">
        <v>-0.217479646354535</v>
      </c>
      <c r="E828">
        <v>-0.21803552400849</v>
      </c>
      <c r="F828">
        <v>-0.295870415980417</v>
      </c>
      <c r="G828">
        <v>-0.284038881093095</v>
      </c>
      <c r="H828">
        <v>0.3727887348838571</v>
      </c>
      <c r="I828">
        <v>0.110413903208127</v>
      </c>
    </row>
    <row r="829" spans="1:9">
      <c r="A829" s="1" t="s">
        <v>841</v>
      </c>
      <c r="B829">
        <f>HYPERLINK("https://www.suredividend.com/sure-analysis-research-database/","i3 Verticals Inc")</f>
        <v>0</v>
      </c>
      <c r="C829">
        <v>-0.102678571428571</v>
      </c>
      <c r="D829">
        <v>-0.230474732006125</v>
      </c>
      <c r="E829">
        <v>-0.240362811791383</v>
      </c>
      <c r="F829">
        <v>-0.118034225537516</v>
      </c>
      <c r="G829">
        <v>-0.191146881287726</v>
      </c>
      <c r="H829">
        <v>-0.221232080588918</v>
      </c>
      <c r="I829">
        <v>0.09536784741144401</v>
      </c>
    </row>
    <row r="830" spans="1:9">
      <c r="A830" s="1" t="s">
        <v>842</v>
      </c>
      <c r="B830">
        <f>HYPERLINK("https://www.suredividend.com/sure-analysis-IIPR/","Innovative Industrial Properties Inc")</f>
        <v>0</v>
      </c>
      <c r="C830">
        <v>-0.001009852243237</v>
      </c>
      <c r="D830">
        <v>-0.174187055655471</v>
      </c>
      <c r="E830">
        <v>-0.491143631270042</v>
      </c>
      <c r="F830">
        <v>-0.631083214981301</v>
      </c>
      <c r="G830">
        <v>-0.580484892443082</v>
      </c>
      <c r="H830">
        <v>-0.235415356553747</v>
      </c>
      <c r="I830">
        <v>4.839567486012448</v>
      </c>
    </row>
    <row r="831" spans="1:9">
      <c r="A831" s="1" t="s">
        <v>843</v>
      </c>
      <c r="B831">
        <f>HYPERLINK("https://www.suredividend.com/sure-analysis-research-database/","Ii-Vi Inc.")</f>
        <v>0</v>
      </c>
      <c r="C831">
        <v>-0.20834119645216</v>
      </c>
      <c r="D831">
        <v>-0.349208811666149</v>
      </c>
      <c r="E831">
        <v>-0.325345770344162</v>
      </c>
      <c r="F831">
        <v>-0.386067613054295</v>
      </c>
      <c r="G831">
        <v>-0.321636481241914</v>
      </c>
      <c r="H831">
        <v>0.07564102564102501</v>
      </c>
      <c r="I831">
        <v>0.14931506849315</v>
      </c>
    </row>
    <row r="832" spans="1:9">
      <c r="A832" s="1" t="s">
        <v>844</v>
      </c>
      <c r="B832">
        <f>HYPERLINK("https://www.suredividend.com/sure-analysis-research-database/","Ikena Oncology Inc")</f>
        <v>0</v>
      </c>
      <c r="C832">
        <v>-0.379047619047619</v>
      </c>
      <c r="D832">
        <v>-0.384905660377358</v>
      </c>
      <c r="E832">
        <v>-0.5594594594594591</v>
      </c>
      <c r="F832">
        <v>-0.740031897926634</v>
      </c>
      <c r="G832">
        <v>-0.747678018575851</v>
      </c>
      <c r="H832">
        <v>-0.8981250000000001</v>
      </c>
      <c r="I832">
        <v>-0.8981250000000001</v>
      </c>
    </row>
    <row r="833" spans="1:9">
      <c r="A833" s="1" t="s">
        <v>845</v>
      </c>
      <c r="B833">
        <f>HYPERLINK("https://www.suredividend.com/sure-analysis-ILPT/","Industrial Logistics Properties Trust")</f>
        <v>0</v>
      </c>
      <c r="C833">
        <v>-0.36056338028169</v>
      </c>
      <c r="D833">
        <v>-0.6783631945477601</v>
      </c>
      <c r="E833">
        <v>-0.782527471474693</v>
      </c>
      <c r="F833">
        <v>-0.8129354709782151</v>
      </c>
      <c r="G833">
        <v>-0.821564026678929</v>
      </c>
      <c r="H833">
        <v>-0.773698141234292</v>
      </c>
      <c r="I833">
        <v>-0.749367899217188</v>
      </c>
    </row>
    <row r="834" spans="1:9">
      <c r="A834" s="1" t="s">
        <v>846</v>
      </c>
      <c r="B834">
        <f>HYPERLINK("https://www.suredividend.com/sure-analysis-research-database/","Imax Corp")</f>
        <v>0</v>
      </c>
      <c r="C834">
        <v>-0.127646326276463</v>
      </c>
      <c r="D834">
        <v>-0.131970260223048</v>
      </c>
      <c r="E834">
        <v>-0.173451327433628</v>
      </c>
      <c r="F834">
        <v>-0.214686098654708</v>
      </c>
      <c r="G834">
        <v>-0.341635338345864</v>
      </c>
      <c r="H834">
        <v>0.205679862306368</v>
      </c>
      <c r="I834">
        <v>-0.355862068965517</v>
      </c>
    </row>
    <row r="835" spans="1:9">
      <c r="A835" s="1" t="s">
        <v>847</v>
      </c>
      <c r="B835">
        <f>HYPERLINK("https://www.suredividend.com/sure-analysis-research-database/","Immunogen, Inc.")</f>
        <v>0</v>
      </c>
      <c r="C835">
        <v>0.053113553113553</v>
      </c>
      <c r="D835">
        <v>0.053113553113553</v>
      </c>
      <c r="E835">
        <v>0.039783001808318</v>
      </c>
      <c r="F835">
        <v>-0.225067385444743</v>
      </c>
      <c r="G835">
        <v>-0.04485049833887</v>
      </c>
      <c r="H835">
        <v>0.192946058091286</v>
      </c>
      <c r="I835">
        <v>-0.177396280400572</v>
      </c>
    </row>
    <row r="836" spans="1:9">
      <c r="A836" s="1" t="s">
        <v>848</v>
      </c>
      <c r="B836">
        <f>HYPERLINK("https://www.suredividend.com/sure-analysis-research-database/","Imago BioSciences Inc")</f>
        <v>0</v>
      </c>
      <c r="C836">
        <v>-0.07924305144884601</v>
      </c>
      <c r="D836">
        <v>-0.057506053268765</v>
      </c>
      <c r="E836">
        <v>-0.185669456066945</v>
      </c>
      <c r="F836">
        <v>-0.343315056938</v>
      </c>
      <c r="G836">
        <v>-0.295475113122172</v>
      </c>
      <c r="H836">
        <v>-0.044198895027624</v>
      </c>
      <c r="I836">
        <v>-0.044198895027624</v>
      </c>
    </row>
    <row r="837" spans="1:9">
      <c r="A837" s="1" t="s">
        <v>849</v>
      </c>
      <c r="B837">
        <f>HYPERLINK("https://www.suredividend.com/sure-analysis-research-database/","Ingles Markets, Inc.")</f>
        <v>0</v>
      </c>
      <c r="C837">
        <v>-0.06733481201566301</v>
      </c>
      <c r="D837">
        <v>-0.031332938206663</v>
      </c>
      <c r="E837">
        <v>-0.09043034448281601</v>
      </c>
      <c r="F837">
        <v>-0.006234521650432001</v>
      </c>
      <c r="G837">
        <v>0.260863191531264</v>
      </c>
      <c r="H837">
        <v>1.252162896310578</v>
      </c>
      <c r="I837">
        <v>2.566402519727253</v>
      </c>
    </row>
    <row r="838" spans="1:9">
      <c r="A838" s="1" t="s">
        <v>850</v>
      </c>
      <c r="B838">
        <f>HYPERLINK("https://www.suredividend.com/sure-analysis-research-database/","Impel Pharmaceuticals Inc")</f>
        <v>0</v>
      </c>
      <c r="C838">
        <v>-0.350736278447121</v>
      </c>
      <c r="D838">
        <v>-0.462901439645625</v>
      </c>
      <c r="E838">
        <v>-0.313031161473087</v>
      </c>
      <c r="F838">
        <v>-0.4380069524913091</v>
      </c>
      <c r="G838">
        <v>-0.4851380042462841</v>
      </c>
      <c r="H838">
        <v>-0.6766666666666661</v>
      </c>
      <c r="I838">
        <v>-0.6766666666666661</v>
      </c>
    </row>
    <row r="839" spans="1:9">
      <c r="A839" s="1" t="s">
        <v>851</v>
      </c>
      <c r="B839">
        <f>HYPERLINK("https://www.suredividend.com/sure-analysis-research-database/","Immuneering Corp")</f>
        <v>0</v>
      </c>
      <c r="C839">
        <v>0.53325817361894</v>
      </c>
      <c r="D839">
        <v>0.868131868131867</v>
      </c>
      <c r="E839">
        <v>0.9236209335219231</v>
      </c>
      <c r="F839">
        <v>-0.158936301793444</v>
      </c>
      <c r="G839">
        <v>-0.50920245398773</v>
      </c>
      <c r="H839">
        <v>-0.226833428084138</v>
      </c>
      <c r="I839">
        <v>-0.226833428084138</v>
      </c>
    </row>
    <row r="840" spans="1:9">
      <c r="A840" s="1" t="s">
        <v>852</v>
      </c>
      <c r="B840">
        <f>HYPERLINK("https://www.suredividend.com/sure-analysis-research-database/","Immunic Inc")</f>
        <v>0</v>
      </c>
      <c r="C840">
        <v>0.313559322033898</v>
      </c>
      <c r="D840">
        <v>0.441860465116279</v>
      </c>
      <c r="E840">
        <v>-0.442446043165467</v>
      </c>
      <c r="F840">
        <v>-0.3521421107628001</v>
      </c>
      <c r="G840">
        <v>-0.228855721393034</v>
      </c>
      <c r="H840">
        <v>-0.682864450127877</v>
      </c>
      <c r="I840">
        <v>0.117117117117117</v>
      </c>
    </row>
    <row r="841" spans="1:9">
      <c r="A841" s="1" t="s">
        <v>853</v>
      </c>
      <c r="B841">
        <f>HYPERLINK("https://www.suredividend.com/sure-analysis-research-database/","Immunovant Inc")</f>
        <v>0</v>
      </c>
      <c r="C841">
        <v>0.908</v>
      </c>
      <c r="D841">
        <v>1.228971962616822</v>
      </c>
      <c r="E841">
        <v>0.892857142857142</v>
      </c>
      <c r="F841">
        <v>0.119718309859155</v>
      </c>
      <c r="G841">
        <v>0.05764966740576401</v>
      </c>
      <c r="H841">
        <v>-0.773826458036984</v>
      </c>
      <c r="I841">
        <v>-0.041206030150753</v>
      </c>
    </row>
    <row r="842" spans="1:9">
      <c r="A842" s="1" t="s">
        <v>854</v>
      </c>
      <c r="B842">
        <f>HYPERLINK("https://www.suredividend.com/sure-analysis-research-database/","International Money Express Inc.")</f>
        <v>0</v>
      </c>
      <c r="C842">
        <v>0.016309012875536</v>
      </c>
      <c r="D842">
        <v>0.053380782918149</v>
      </c>
      <c r="E842">
        <v>0.181636726546906</v>
      </c>
      <c r="F842">
        <v>0.483709273182957</v>
      </c>
      <c r="G842">
        <v>0.398700531600708</v>
      </c>
      <c r="H842">
        <v>0.668780831571529</v>
      </c>
      <c r="I842">
        <v>1.405306300724232</v>
      </c>
    </row>
    <row r="843" spans="1:9">
      <c r="A843" s="1" t="s">
        <v>855</v>
      </c>
      <c r="B843">
        <f>HYPERLINK("https://www.suredividend.com/sure-analysis-research-database/","First Internet Bancorp")</f>
        <v>0</v>
      </c>
      <c r="C843">
        <v>-0.176124794654507</v>
      </c>
      <c r="D843">
        <v>-0.184915175267903</v>
      </c>
      <c r="E843">
        <v>-0.247983412142514</v>
      </c>
      <c r="F843">
        <v>-0.364810863571027</v>
      </c>
      <c r="G843">
        <v>-0.046005992134521</v>
      </c>
      <c r="H843">
        <v>0.701480070256137</v>
      </c>
      <c r="I843">
        <v>-0.100774349996522</v>
      </c>
    </row>
    <row r="844" spans="1:9">
      <c r="A844" s="1" t="s">
        <v>856</v>
      </c>
      <c r="B844">
        <f>HYPERLINK("https://www.suredividend.com/sure-analysis-research-database/","Inhibrx Inc")</f>
        <v>0</v>
      </c>
      <c r="C844">
        <v>0.903307888040712</v>
      </c>
      <c r="D844">
        <v>0.737514518002323</v>
      </c>
      <c r="E844">
        <v>0.415996213913866</v>
      </c>
      <c r="F844">
        <v>-0.314861460957178</v>
      </c>
      <c r="G844">
        <v>0.118504672897196</v>
      </c>
      <c r="H844">
        <v>0.649393605292172</v>
      </c>
      <c r="I844">
        <v>0.450315075133301</v>
      </c>
    </row>
    <row r="845" spans="1:9">
      <c r="A845" s="1" t="s">
        <v>857</v>
      </c>
      <c r="B845">
        <f>HYPERLINK("https://www.suredividend.com/sure-analysis-research-database/","Independent Bank Corp.")</f>
        <v>0</v>
      </c>
      <c r="C845">
        <v>-0.005517064408519</v>
      </c>
      <c r="D845">
        <v>-0.029154182991472</v>
      </c>
      <c r="E845">
        <v>0.01768174435719</v>
      </c>
      <c r="F845">
        <v>-0.030938455652713</v>
      </c>
      <c r="G845">
        <v>-0.022213700109371</v>
      </c>
      <c r="H845">
        <v>0.479850850279417</v>
      </c>
      <c r="I845">
        <v>0.14785755962906</v>
      </c>
    </row>
    <row r="846" spans="1:9">
      <c r="A846" s="1" t="s">
        <v>858</v>
      </c>
      <c r="B846">
        <f>HYPERLINK("https://www.suredividend.com/sure-analysis-research-database/","INDUS Realty Trust Inc")</f>
        <v>0</v>
      </c>
      <c r="C846">
        <v>-0.174154081437583</v>
      </c>
      <c r="D846">
        <v>-0.170303270187533</v>
      </c>
      <c r="E846">
        <v>-0.297145573488466</v>
      </c>
      <c r="F846">
        <v>-0.382282396913401</v>
      </c>
      <c r="G846">
        <v>-0.22810037802572</v>
      </c>
      <c r="H846">
        <v>-0.178027796161482</v>
      </c>
      <c r="I846">
        <v>0.388838413347162</v>
      </c>
    </row>
    <row r="847" spans="1:9">
      <c r="A847" s="1" t="s">
        <v>859</v>
      </c>
      <c r="B847">
        <f>HYPERLINK("https://www.suredividend.com/sure-analysis-research-database/","Infinity Pharmaceuticals Inc.")</f>
        <v>0</v>
      </c>
      <c r="C847">
        <v>-0.255033557046979</v>
      </c>
      <c r="D847">
        <v>0.6362028301886791</v>
      </c>
      <c r="E847">
        <v>0.09900990099009901</v>
      </c>
      <c r="F847">
        <v>-0.506666666666666</v>
      </c>
      <c r="G847">
        <v>-0.59040590405904</v>
      </c>
      <c r="H847">
        <v>-0.051282051282051</v>
      </c>
      <c r="I847">
        <v>-0.23972602739726</v>
      </c>
    </row>
    <row r="848" spans="1:9">
      <c r="A848" s="1" t="s">
        <v>860</v>
      </c>
      <c r="B848">
        <f>HYPERLINK("https://www.suredividend.com/sure-analysis-research-database/","Infinera Corp.")</f>
        <v>0</v>
      </c>
      <c r="C848">
        <v>-0.09380863039399601</v>
      </c>
      <c r="D848">
        <v>-0.162911611785095</v>
      </c>
      <c r="E848">
        <v>-0.383928571428571</v>
      </c>
      <c r="F848">
        <v>-0.496350364963503</v>
      </c>
      <c r="G848">
        <v>-0.390920554854981</v>
      </c>
      <c r="H848">
        <v>-0.304034582132564</v>
      </c>
      <c r="I848">
        <v>-0.449258836944127</v>
      </c>
    </row>
    <row r="849" spans="1:9">
      <c r="A849" s="1" t="s">
        <v>861</v>
      </c>
      <c r="B849">
        <f>HYPERLINK("https://www.suredividend.com/sure-analysis-research-database/","InfuSystem Holdings Inc")</f>
        <v>0</v>
      </c>
      <c r="C849">
        <v>-0.06527415143603101</v>
      </c>
      <c r="D849">
        <v>-0.287562189054726</v>
      </c>
      <c r="E849">
        <v>-0.184510250569476</v>
      </c>
      <c r="F849">
        <v>-0.5795654726952431</v>
      </c>
      <c r="G849">
        <v>-0.45880574452003</v>
      </c>
      <c r="H849">
        <v>-0.473529411764705</v>
      </c>
      <c r="I849">
        <v>2.390151515151515</v>
      </c>
    </row>
    <row r="850" spans="1:9">
      <c r="A850" s="1" t="s">
        <v>862</v>
      </c>
      <c r="B850">
        <f>HYPERLINK("https://www.suredividend.com/sure-analysis-research-database/","Inogen Inc")</f>
        <v>0</v>
      </c>
      <c r="C850">
        <v>-0.223804308141657</v>
      </c>
      <c r="D850">
        <v>-0.225500910746812</v>
      </c>
      <c r="E850">
        <v>-0.344231955582973</v>
      </c>
      <c r="F850">
        <v>-0.3747058823529411</v>
      </c>
      <c r="G850">
        <v>-0.5035030359645021</v>
      </c>
      <c r="H850">
        <v>-0.315297906602254</v>
      </c>
      <c r="I850">
        <v>-0.77308143878749</v>
      </c>
    </row>
    <row r="851" spans="1:9">
      <c r="A851" s="1" t="s">
        <v>863</v>
      </c>
      <c r="B851">
        <f>HYPERLINK("https://www.suredividend.com/sure-analysis-research-database/","Summit Hotel Properties Inc")</f>
        <v>0</v>
      </c>
      <c r="C851">
        <v>-0.163793103448275</v>
      </c>
      <c r="D851">
        <v>-0.06441612125387501</v>
      </c>
      <c r="E851">
        <v>-0.243858437827123</v>
      </c>
      <c r="F851">
        <v>-0.301188699634642</v>
      </c>
      <c r="G851">
        <v>-0.314529155225327</v>
      </c>
      <c r="H851">
        <v>0.242338303906321</v>
      </c>
      <c r="I851">
        <v>-0.510274145504114</v>
      </c>
    </row>
    <row r="852" spans="1:9">
      <c r="A852" s="1" t="s">
        <v>864</v>
      </c>
      <c r="B852">
        <f>HYPERLINK("https://www.suredividend.com/sure-analysis-research-database/","InnovAge Holding Corp")</f>
        <v>0</v>
      </c>
      <c r="C852">
        <v>0.218997361477572</v>
      </c>
      <c r="D852">
        <v>0.019867549668874</v>
      </c>
      <c r="E852">
        <v>-0.214285714285714</v>
      </c>
      <c r="F852">
        <v>-0.07599999999999901</v>
      </c>
      <c r="G852">
        <v>-0.327510917030567</v>
      </c>
      <c r="H852">
        <v>-0.8090909090909091</v>
      </c>
      <c r="I852">
        <v>-0.8090909090909091</v>
      </c>
    </row>
    <row r="853" spans="1:9">
      <c r="A853" s="1" t="s">
        <v>865</v>
      </c>
      <c r="B853">
        <f>HYPERLINK("https://www.suredividend.com/sure-analysis-research-database/","Inovio Pharmaceuticals Inc")</f>
        <v>0</v>
      </c>
      <c r="C853">
        <v>-0.297297297297297</v>
      </c>
      <c r="D853">
        <v>-0.28110599078341</v>
      </c>
      <c r="E853">
        <v>-0.5229357798165131</v>
      </c>
      <c r="F853">
        <v>-0.687374749498998</v>
      </c>
      <c r="G853">
        <v>-0.761832061068702</v>
      </c>
      <c r="H853">
        <v>-0.8732737611697801</v>
      </c>
      <c r="I853">
        <v>-0.757763975155279</v>
      </c>
    </row>
    <row r="854" spans="1:9">
      <c r="A854" s="1" t="s">
        <v>866</v>
      </c>
      <c r="B854">
        <f>HYPERLINK("https://www.suredividend.com/sure-analysis-research-database/","Inseego Corp")</f>
        <v>0</v>
      </c>
      <c r="C854">
        <v>-0.254826254826254</v>
      </c>
      <c r="D854">
        <v>-0.06310679611650401</v>
      </c>
      <c r="E854">
        <v>-0.448571428571428</v>
      </c>
      <c r="F854">
        <v>-0.668953687821612</v>
      </c>
      <c r="G854">
        <v>-0.7003105590062111</v>
      </c>
      <c r="H854">
        <v>-0.8126213592233</v>
      </c>
      <c r="I854">
        <v>0.359154929577464</v>
      </c>
    </row>
    <row r="855" spans="1:9">
      <c r="A855" s="1" t="s">
        <v>867</v>
      </c>
      <c r="B855">
        <f>HYPERLINK("https://www.suredividend.com/sure-analysis-research-database/","Insmed Inc")</f>
        <v>0</v>
      </c>
      <c r="C855">
        <v>-0.131695529601288</v>
      </c>
      <c r="D855">
        <v>-0.130645161290322</v>
      </c>
      <c r="E855">
        <v>-0.128184391427416</v>
      </c>
      <c r="F855">
        <v>-0.208516886930983</v>
      </c>
      <c r="G855">
        <v>-0.242445537596626</v>
      </c>
      <c r="H855">
        <v>-0.401941747572815</v>
      </c>
      <c r="I855">
        <v>-0.273340074148972</v>
      </c>
    </row>
    <row r="856" spans="1:9">
      <c r="A856" s="1" t="s">
        <v>868</v>
      </c>
      <c r="B856">
        <f>HYPERLINK("https://www.suredividend.com/sure-analysis-research-database/","Inspire Medical Systems Inc")</f>
        <v>0</v>
      </c>
      <c r="C856">
        <v>-0.19160382343052</v>
      </c>
      <c r="D856">
        <v>-0.172403619197482</v>
      </c>
      <c r="E856">
        <v>-0.337610201511335</v>
      </c>
      <c r="F856">
        <v>-0.268451708250021</v>
      </c>
      <c r="G856">
        <v>-0.271554709141274</v>
      </c>
      <c r="H856">
        <v>0.294615384615384</v>
      </c>
      <c r="I856">
        <v>5.737389911929544</v>
      </c>
    </row>
    <row r="857" spans="1:9">
      <c r="A857" s="1" t="s">
        <v>869</v>
      </c>
      <c r="B857">
        <f>HYPERLINK("https://www.suredividend.com/sure-analysis-research-database/","Instructure Holdings Inc")</f>
        <v>0</v>
      </c>
      <c r="C857">
        <v>-0.08318890814558001</v>
      </c>
      <c r="D857">
        <v>-0.090283748925193</v>
      </c>
      <c r="E857">
        <v>0.126130920702501</v>
      </c>
      <c r="F857">
        <v>-0.117597998331943</v>
      </c>
      <c r="G857">
        <v>-0.122355868934052</v>
      </c>
      <c r="H857">
        <v>0.008579599618684</v>
      </c>
      <c r="I857">
        <v>0.008579599618684</v>
      </c>
    </row>
    <row r="858" spans="1:9">
      <c r="A858" s="1" t="s">
        <v>870</v>
      </c>
      <c r="B858">
        <f>HYPERLINK("https://www.suredividend.com/sure-analysis-research-database/","International Seaways Inc")</f>
        <v>0</v>
      </c>
      <c r="C858">
        <v>0.058627147877654</v>
      </c>
      <c r="D858">
        <v>0.846490000645814</v>
      </c>
      <c r="E858">
        <v>0.7485386375566321</v>
      </c>
      <c r="F858">
        <v>1.366272173025463</v>
      </c>
      <c r="G858">
        <v>1.028473117262418</v>
      </c>
      <c r="H858">
        <v>1.390807481116035</v>
      </c>
      <c r="I858">
        <v>0.8676581058865791</v>
      </c>
    </row>
    <row r="859" spans="1:9">
      <c r="A859" s="1" t="s">
        <v>871</v>
      </c>
      <c r="B859">
        <f>HYPERLINK("https://www.suredividend.com/sure-analysis-research-database/","World Fuel Services Corp.")</f>
        <v>0</v>
      </c>
      <c r="C859">
        <v>-0.000431265542689</v>
      </c>
      <c r="D859">
        <v>0.162125940712833</v>
      </c>
      <c r="E859">
        <v>-0.021503255079897</v>
      </c>
      <c r="F859">
        <v>-0.04914538107032401</v>
      </c>
      <c r="G859">
        <v>-0.232191011062022</v>
      </c>
      <c r="H859">
        <v>0.09574515088587401</v>
      </c>
      <c r="I859">
        <v>-0.25389074914784</v>
      </c>
    </row>
    <row r="860" spans="1:9">
      <c r="A860" s="1" t="s">
        <v>872</v>
      </c>
      <c r="B860">
        <f>HYPERLINK("https://www.suredividend.com/sure-analysis-research-database/","Intapp Inc")</f>
        <v>0</v>
      </c>
      <c r="C860">
        <v>0.09618768328445701</v>
      </c>
      <c r="D860">
        <v>0.140329469188529</v>
      </c>
      <c r="E860">
        <v>-0.193701466781708</v>
      </c>
      <c r="F860">
        <v>-0.257154213036565</v>
      </c>
      <c r="G860">
        <v>-0.246978243352135</v>
      </c>
      <c r="H860">
        <v>-0.332499999999999</v>
      </c>
      <c r="I860">
        <v>-0.332499999999999</v>
      </c>
    </row>
    <row r="861" spans="1:9">
      <c r="A861" s="1" t="s">
        <v>873</v>
      </c>
      <c r="B861">
        <f>HYPERLINK("https://www.suredividend.com/sure-analysis-research-database/","Innoviva Inc")</f>
        <v>0</v>
      </c>
      <c r="C861">
        <v>-0.05895691609977301</v>
      </c>
      <c r="D861">
        <v>-0.140193370165745</v>
      </c>
      <c r="E861">
        <v>-0.37374245472837</v>
      </c>
      <c r="F861">
        <v>-0.278260869565217</v>
      </c>
      <c r="G861">
        <v>-0.262003556609365</v>
      </c>
      <c r="H861">
        <v>0.194817658349328</v>
      </c>
      <c r="I861">
        <v>-0.106886657101865</v>
      </c>
    </row>
    <row r="862" spans="1:9">
      <c r="A862" s="1" t="s">
        <v>874</v>
      </c>
      <c r="B862">
        <f>HYPERLINK("https://www.suredividend.com/sure-analysis-research-database/","Identiv Inc")</f>
        <v>0</v>
      </c>
      <c r="C862">
        <v>-0.07885040530582101</v>
      </c>
      <c r="D862">
        <v>0.08225108225108201</v>
      </c>
      <c r="E862">
        <v>-0.07680945347119601</v>
      </c>
      <c r="F862">
        <v>-0.555792466240227</v>
      </c>
      <c r="G862">
        <v>-0.344863731656184</v>
      </c>
      <c r="H862">
        <v>0.9440124416796271</v>
      </c>
      <c r="I862">
        <v>1.815315315315315</v>
      </c>
    </row>
    <row r="863" spans="1:9">
      <c r="A863" s="1" t="s">
        <v>875</v>
      </c>
      <c r="B863">
        <f>HYPERLINK("https://www.suredividend.com/sure-analysis-research-database/","Inozyme Pharma Inc")</f>
        <v>0</v>
      </c>
      <c r="C863">
        <v>-0.213375796178343</v>
      </c>
      <c r="D863">
        <v>-0.511857707509881</v>
      </c>
      <c r="E863">
        <v>-0.521317829457364</v>
      </c>
      <c r="F863">
        <v>-0.6378299120234601</v>
      </c>
      <c r="G863">
        <v>-0.7594936708860751</v>
      </c>
      <c r="H863">
        <v>-0.8882352941176471</v>
      </c>
      <c r="I863">
        <v>-0.8591790193842641</v>
      </c>
    </row>
    <row r="864" spans="1:9">
      <c r="A864" s="1" t="s">
        <v>876</v>
      </c>
      <c r="B864">
        <f>HYPERLINK("https://www.suredividend.com/sure-analysis-research-database/","Innospec Inc")</f>
        <v>0</v>
      </c>
      <c r="C864">
        <v>-0.04618274223842601</v>
      </c>
      <c r="D864">
        <v>-0.06569264069264001</v>
      </c>
      <c r="E864">
        <v>-0.049674932245444</v>
      </c>
      <c r="F864">
        <v>-0.03841869831765</v>
      </c>
      <c r="G864">
        <v>0.026529478982483</v>
      </c>
      <c r="H864">
        <v>0.319352748435054</v>
      </c>
      <c r="I864">
        <v>0.465821551125471</v>
      </c>
    </row>
    <row r="865" spans="1:9">
      <c r="A865" s="1" t="s">
        <v>877</v>
      </c>
      <c r="B865">
        <f>HYPERLINK("https://www.suredividend.com/sure-analysis-IPAR/","Inter Parfums, Inc.")</f>
        <v>0</v>
      </c>
      <c r="C865">
        <v>-0.07455841826907</v>
      </c>
      <c r="D865">
        <v>0.05703846472859801</v>
      </c>
      <c r="E865">
        <v>-0.107720313810932</v>
      </c>
      <c r="F865">
        <v>-0.282419712414358</v>
      </c>
      <c r="G865">
        <v>-0.013921037618932</v>
      </c>
      <c r="H865">
        <v>0.8896517753025851</v>
      </c>
      <c r="I865">
        <v>0.9544338016453741</v>
      </c>
    </row>
    <row r="866" spans="1:9">
      <c r="A866" s="1" t="s">
        <v>878</v>
      </c>
      <c r="B866">
        <f>HYPERLINK("https://www.suredividend.com/sure-analysis-research-database/","Intrepid Potash Inc")</f>
        <v>0</v>
      </c>
      <c r="C866">
        <v>-0.10848252344416</v>
      </c>
      <c r="D866">
        <v>0.04054726368159201</v>
      </c>
      <c r="E866">
        <v>-0.6087363202693851</v>
      </c>
      <c r="F866">
        <v>-0.021062485373274</v>
      </c>
      <c r="G866">
        <v>0.193778538812785</v>
      </c>
      <c r="H866">
        <v>3.303497942386831</v>
      </c>
      <c r="I866">
        <v>0.07532133676092501</v>
      </c>
    </row>
    <row r="867" spans="1:9">
      <c r="A867" s="1" t="s">
        <v>879</v>
      </c>
      <c r="B867">
        <f>HYPERLINK("https://www.suredividend.com/sure-analysis-research-database/","Century Therapeutics Inc")</f>
        <v>0</v>
      </c>
      <c r="C867">
        <v>-0.182456140350877</v>
      </c>
      <c r="D867">
        <v>-0.010615711252653</v>
      </c>
      <c r="E867">
        <v>-0.190972222222222</v>
      </c>
      <c r="F867">
        <v>-0.4123581336696091</v>
      </c>
      <c r="G867">
        <v>-0.47433728144388</v>
      </c>
      <c r="H867">
        <v>-0.5917652212001751</v>
      </c>
      <c r="I867">
        <v>-0.5917652212001751</v>
      </c>
    </row>
    <row r="868" spans="1:9">
      <c r="A868" s="1" t="s">
        <v>880</v>
      </c>
      <c r="B868">
        <f>HYPERLINK("https://www.suredividend.com/sure-analysis-research-database/","Irobot Corp")</f>
        <v>0</v>
      </c>
      <c r="C868">
        <v>-0.044195138534761</v>
      </c>
      <c r="D868">
        <v>0.387025160335471</v>
      </c>
      <c r="E868">
        <v>-0.023954174622461</v>
      </c>
      <c r="F868">
        <v>-0.146478445658773</v>
      </c>
      <c r="G868">
        <v>-0.307171020206998</v>
      </c>
      <c r="H868">
        <v>-0.374039853055772</v>
      </c>
      <c r="I868">
        <v>-0.274638802889576</v>
      </c>
    </row>
    <row r="869" spans="1:9">
      <c r="A869" s="1" t="s">
        <v>881</v>
      </c>
      <c r="B869">
        <f>HYPERLINK("https://www.suredividend.com/sure-analysis-research-database/","Iridium Communications Inc")</f>
        <v>0</v>
      </c>
      <c r="C869">
        <v>0.058054509195657</v>
      </c>
      <c r="D869">
        <v>0.237046632124352</v>
      </c>
      <c r="E869">
        <v>0.195842724768344</v>
      </c>
      <c r="F869">
        <v>0.156454347299588</v>
      </c>
      <c r="G869">
        <v>0.292286874154262</v>
      </c>
      <c r="H869">
        <v>0.651677620200622</v>
      </c>
      <c r="I869">
        <v>3.225663716814159</v>
      </c>
    </row>
    <row r="870" spans="1:9">
      <c r="A870" s="1" t="s">
        <v>882</v>
      </c>
      <c r="B870">
        <f>HYPERLINK("https://www.suredividend.com/sure-analysis-research-database/","Iradimed Corp")</f>
        <v>0</v>
      </c>
      <c r="C870">
        <v>-0.201354136002354</v>
      </c>
      <c r="D870">
        <v>-0.222636103151862</v>
      </c>
      <c r="E870">
        <v>-0.3825671370050061</v>
      </c>
      <c r="F870">
        <v>-0.4009133146077341</v>
      </c>
      <c r="G870">
        <v>-0.219736384212963</v>
      </c>
      <c r="H870">
        <v>0.262371285124678</v>
      </c>
      <c r="I870">
        <v>1.674751059844227</v>
      </c>
    </row>
    <row r="871" spans="1:9">
      <c r="A871" s="1" t="s">
        <v>883</v>
      </c>
      <c r="B871">
        <f>HYPERLINK("https://www.suredividend.com/sure-analysis-IRT/","Independence Realty Trust Inc")</f>
        <v>0</v>
      </c>
      <c r="C871">
        <v>-0.215417960985646</v>
      </c>
      <c r="D871">
        <v>-0.219669688314913</v>
      </c>
      <c r="E871">
        <v>-0.4117492876212721</v>
      </c>
      <c r="F871">
        <v>-0.379825988093922</v>
      </c>
      <c r="G871">
        <v>-0.217146046363291</v>
      </c>
      <c r="H871">
        <v>0.378638561512202</v>
      </c>
      <c r="I871">
        <v>0.924113266705859</v>
      </c>
    </row>
    <row r="872" spans="1:9">
      <c r="A872" s="1" t="s">
        <v>884</v>
      </c>
      <c r="B872">
        <f>HYPERLINK("https://www.suredividend.com/sure-analysis-research-database/","iRhythm Technologies Inc")</f>
        <v>0</v>
      </c>
      <c r="C872">
        <v>-0.244835164835164</v>
      </c>
      <c r="D872">
        <v>-0.151425345752187</v>
      </c>
      <c r="E872">
        <v>-0.20834704759397</v>
      </c>
      <c r="F872">
        <v>0.021837029484238</v>
      </c>
      <c r="G872">
        <v>0.902848101265822</v>
      </c>
      <c r="H872">
        <v>-0.522550420835318</v>
      </c>
      <c r="I872">
        <v>1.401837427601358</v>
      </c>
    </row>
    <row r="873" spans="1:9">
      <c r="A873" s="1" t="s">
        <v>885</v>
      </c>
      <c r="B873">
        <f>HYPERLINK("https://www.suredividend.com/sure-analysis-research-database/","Ironwood Pharmaceuticals Inc")</f>
        <v>0</v>
      </c>
      <c r="C873">
        <v>-0.09999999999999901</v>
      </c>
      <c r="D873">
        <v>-0.167367535744322</v>
      </c>
      <c r="E873">
        <v>-0.214908802537668</v>
      </c>
      <c r="F873">
        <v>-0.150943396226415</v>
      </c>
      <c r="G873">
        <v>-0.290322580645161</v>
      </c>
      <c r="H873">
        <v>-0.05624404194470901</v>
      </c>
      <c r="I873">
        <v>-0.277556828547451</v>
      </c>
    </row>
    <row r="874" spans="1:9">
      <c r="A874" s="1" t="s">
        <v>886</v>
      </c>
      <c r="B874">
        <f>HYPERLINK("https://www.suredividend.com/sure-analysis-research-database/","IVERIC bio Inc")</f>
        <v>0</v>
      </c>
      <c r="C874">
        <v>0.083916083916083</v>
      </c>
      <c r="D874">
        <v>0.7207514944491881</v>
      </c>
      <c r="E874">
        <v>0.154066437571592</v>
      </c>
      <c r="F874">
        <v>0.205143540669856</v>
      </c>
      <c r="G874">
        <v>0.161383285302593</v>
      </c>
      <c r="H874">
        <v>2.287112561174551</v>
      </c>
      <c r="I874">
        <v>6.933070866141732</v>
      </c>
    </row>
    <row r="875" spans="1:9">
      <c r="A875" s="1" t="s">
        <v>887</v>
      </c>
      <c r="B875">
        <f>HYPERLINK("https://www.suredividend.com/sure-analysis-research-database/","IsoPlexis Corp")</f>
        <v>0</v>
      </c>
      <c r="C875">
        <v>-0.18348623853211</v>
      </c>
      <c r="D875">
        <v>-0.423948220064724</v>
      </c>
      <c r="E875">
        <v>-0.362007168458781</v>
      </c>
      <c r="F875">
        <v>-0.8063112078346021</v>
      </c>
      <c r="G875">
        <v>-0.845486111111111</v>
      </c>
      <c r="H875">
        <v>-0.845486111111111</v>
      </c>
      <c r="I875">
        <v>-0.845486111111111</v>
      </c>
    </row>
    <row r="876" spans="1:9">
      <c r="A876" s="1" t="s">
        <v>888</v>
      </c>
      <c r="B876">
        <f>HYPERLINK("https://www.suredividend.com/sure-analysis-research-database/","Intra-Cellular Therapies Inc")</f>
        <v>0</v>
      </c>
      <c r="C876">
        <v>-0.08461538461538401</v>
      </c>
      <c r="D876">
        <v>-0.173180475942331</v>
      </c>
      <c r="E876">
        <v>-0.263157894736842</v>
      </c>
      <c r="F876">
        <v>-0.09056171188383601</v>
      </c>
      <c r="G876">
        <v>0.254943316635908</v>
      </c>
      <c r="H876">
        <v>0.7525773195876281</v>
      </c>
      <c r="I876">
        <v>1.923832923832924</v>
      </c>
    </row>
    <row r="877" spans="1:9">
      <c r="A877" s="1" t="s">
        <v>889</v>
      </c>
      <c r="B877">
        <f>HYPERLINK("https://www.suredividend.com/sure-analysis-research-database/","Integer Holdings Corp")</f>
        <v>0</v>
      </c>
      <c r="C877">
        <v>-0.21441746080541</v>
      </c>
      <c r="D877">
        <v>-0.263332372441625</v>
      </c>
      <c r="E877">
        <v>-0.372960372960373</v>
      </c>
      <c r="F877">
        <v>-0.402850800327141</v>
      </c>
      <c r="G877">
        <v>-0.4286832103733511</v>
      </c>
      <c r="H877">
        <v>-0.210900108074725</v>
      </c>
      <c r="I877">
        <v>-0.03838193791157</v>
      </c>
    </row>
    <row r="878" spans="1:9">
      <c r="A878" s="1" t="s">
        <v>890</v>
      </c>
      <c r="B878">
        <f>HYPERLINK("https://www.suredividend.com/sure-analysis-research-database/","Iteris Inc.")</f>
        <v>0</v>
      </c>
      <c r="C878">
        <v>-0.158730158730158</v>
      </c>
      <c r="D878">
        <v>-0.083044982698961</v>
      </c>
      <c r="E878">
        <v>-0.05357142857142801</v>
      </c>
      <c r="F878">
        <v>-0.3375</v>
      </c>
      <c r="G878">
        <v>-0.5046728971962611</v>
      </c>
      <c r="H878">
        <v>-0.394977168949771</v>
      </c>
      <c r="I878">
        <v>-0.6544980443285521</v>
      </c>
    </row>
    <row r="879" spans="1:9">
      <c r="A879" s="1" t="s">
        <v>891</v>
      </c>
      <c r="B879">
        <f>HYPERLINK("https://www.suredividend.com/sure-analysis-research-database/","Investors Title Co.")</f>
        <v>0</v>
      </c>
      <c r="C879">
        <v>-0.076417704011064</v>
      </c>
      <c r="D879">
        <v>-0.109563376018284</v>
      </c>
      <c r="E879">
        <v>-0.309025661508978</v>
      </c>
      <c r="F879">
        <v>-0.316839260027704</v>
      </c>
      <c r="G879">
        <v>-0.288382707833012</v>
      </c>
      <c r="H879">
        <v>-0.088239691578557</v>
      </c>
      <c r="I879">
        <v>-0.240326031248169</v>
      </c>
    </row>
    <row r="880" spans="1:9">
      <c r="A880" s="1" t="s">
        <v>892</v>
      </c>
      <c r="B880">
        <f>HYPERLINK("https://www.suredividend.com/sure-analysis-research-database/","ITeos Therapeutics Inc")</f>
        <v>0</v>
      </c>
      <c r="C880">
        <v>-0.187669990933816</v>
      </c>
      <c r="D880">
        <v>-0.233532934131736</v>
      </c>
      <c r="E880">
        <v>-0.489458689458689</v>
      </c>
      <c r="F880">
        <v>-0.615120274914089</v>
      </c>
      <c r="G880">
        <v>-0.334818114328136</v>
      </c>
      <c r="H880">
        <v>-0.220869565217391</v>
      </c>
      <c r="I880">
        <v>-0.05931758530183701</v>
      </c>
    </row>
    <row r="881" spans="1:9">
      <c r="A881" s="1" t="s">
        <v>893</v>
      </c>
      <c r="B881">
        <f>HYPERLINK("https://www.suredividend.com/sure-analysis-research-database/","Itron Inc.")</f>
        <v>0</v>
      </c>
      <c r="C881">
        <v>-0.158060701616082</v>
      </c>
      <c r="D881">
        <v>-0.108700187773836</v>
      </c>
      <c r="E881">
        <v>-0.162681301450411</v>
      </c>
      <c r="F881">
        <v>-0.376532399299474</v>
      </c>
      <c r="G881">
        <v>-0.408064292642372</v>
      </c>
      <c r="H881">
        <v>-0.367298578199052</v>
      </c>
      <c r="I881">
        <v>-0.454406130268199</v>
      </c>
    </row>
    <row r="882" spans="1:9">
      <c r="A882" s="1" t="s">
        <v>894</v>
      </c>
      <c r="B882">
        <f>HYPERLINK("https://www.suredividend.com/sure-analysis-research-database/","Invacare Corp.")</f>
        <v>0</v>
      </c>
      <c r="C882">
        <v>-0.257425742574257</v>
      </c>
      <c r="D882">
        <v>-0.5</v>
      </c>
      <c r="E882">
        <v>-0.486301369863013</v>
      </c>
      <c r="F882">
        <v>-0.724264705882353</v>
      </c>
      <c r="G882">
        <v>-0.8376623376623371</v>
      </c>
      <c r="H882">
        <v>-0.910287081339712</v>
      </c>
      <c r="I882">
        <v>-0.9465625467577711</v>
      </c>
    </row>
    <row r="883" spans="1:9">
      <c r="A883" s="1" t="s">
        <v>895</v>
      </c>
      <c r="B883">
        <f>HYPERLINK("https://www.suredividend.com/sure-analysis-research-database/","Invesco Mortgage Capital Inc")</f>
        <v>0</v>
      </c>
      <c r="C883">
        <v>-0.339240929610433</v>
      </c>
      <c r="D883">
        <v>-0.277767218818988</v>
      </c>
      <c r="E883">
        <v>-0.446876644534267</v>
      </c>
      <c r="F883">
        <v>-0.5697426294473711</v>
      </c>
      <c r="G883">
        <v>-0.6226760972181911</v>
      </c>
      <c r="H883">
        <v>-0.5357470103141221</v>
      </c>
      <c r="I883">
        <v>-0.8573555038685821</v>
      </c>
    </row>
    <row r="884" spans="1:9">
      <c r="A884" s="1" t="s">
        <v>896</v>
      </c>
      <c r="B884">
        <f>HYPERLINK("https://www.suredividend.com/sure-analysis-JACK/","Jack In The Box, Inc.")</f>
        <v>0</v>
      </c>
      <c r="C884">
        <v>-0.08282358698311701</v>
      </c>
      <c r="D884">
        <v>0.264383905878702</v>
      </c>
      <c r="E884">
        <v>-0.155031490489736</v>
      </c>
      <c r="F884">
        <v>-0.128454445265962</v>
      </c>
      <c r="G884">
        <v>-0.226344532091687</v>
      </c>
      <c r="H884">
        <v>-0.07587512665577001</v>
      </c>
      <c r="I884">
        <v>-0.188226083962348</v>
      </c>
    </row>
    <row r="885" spans="1:9">
      <c r="A885" s="1" t="s">
        <v>897</v>
      </c>
      <c r="B885">
        <f>HYPERLINK("https://www.suredividend.com/sure-analysis-research-database/","Janux Therapeutics Inc")</f>
        <v>0</v>
      </c>
      <c r="C885">
        <v>-0.008314436885865001</v>
      </c>
      <c r="D885">
        <v>-0.09828178694158</v>
      </c>
      <c r="E885">
        <v>-0.06818181818181801</v>
      </c>
      <c r="F885">
        <v>-0.335022807906741</v>
      </c>
      <c r="G885">
        <v>-0.384326607226654</v>
      </c>
      <c r="H885">
        <v>-0.4783300198807151</v>
      </c>
      <c r="I885">
        <v>-0.4783300198807151</v>
      </c>
    </row>
    <row r="886" spans="1:9">
      <c r="A886" s="1" t="s">
        <v>898</v>
      </c>
      <c r="B886">
        <f>HYPERLINK("https://www.suredividend.com/sure-analysis-research-database/","Sanfilippo (John B.) &amp; Son, Inc")</f>
        <v>0</v>
      </c>
      <c r="C886">
        <v>-0.028928252835478</v>
      </c>
      <c r="D886">
        <v>0.03688281999469301</v>
      </c>
      <c r="E886">
        <v>-0.085304370372504</v>
      </c>
      <c r="F886">
        <v>-0.137349375766989</v>
      </c>
      <c r="G886">
        <v>-0.06123645753511701</v>
      </c>
      <c r="H886">
        <v>0.047674698381053</v>
      </c>
      <c r="I886">
        <v>0.269773557048993</v>
      </c>
    </row>
    <row r="887" spans="1:9">
      <c r="A887" s="1" t="s">
        <v>899</v>
      </c>
      <c r="B887">
        <f>HYPERLINK("https://www.suredividend.com/sure-analysis-research-database/","John Bean Technologies Corp")</f>
        <v>0</v>
      </c>
      <c r="C887">
        <v>-0.108252947481243</v>
      </c>
      <c r="D887">
        <v>-0.173775310579052</v>
      </c>
      <c r="E887">
        <v>-0.153964267192727</v>
      </c>
      <c r="F887">
        <v>-0.402460411043513</v>
      </c>
      <c r="G887">
        <v>-0.37279799119916</v>
      </c>
      <c r="H887">
        <v>0.020682425236016</v>
      </c>
      <c r="I887">
        <v>-0.07399069336363301</v>
      </c>
    </row>
    <row r="888" spans="1:9">
      <c r="A888" s="1" t="s">
        <v>900</v>
      </c>
      <c r="B888">
        <f>HYPERLINK("https://www.suredividend.com/sure-analysis-research-database/","JELD-WEN Holding Inc.")</f>
        <v>0</v>
      </c>
      <c r="C888">
        <v>-0.14519056261343</v>
      </c>
      <c r="D888">
        <v>-0.392258064516129</v>
      </c>
      <c r="E888">
        <v>-0.522312373225152</v>
      </c>
      <c r="F888">
        <v>-0.6426403641881641</v>
      </c>
      <c r="G888">
        <v>-0.6297169811320751</v>
      </c>
      <c r="H888">
        <v>-0.6358716660224191</v>
      </c>
      <c r="I888">
        <v>-0.73672442705422</v>
      </c>
    </row>
    <row r="889" spans="1:9">
      <c r="A889" s="1" t="s">
        <v>901</v>
      </c>
      <c r="B889">
        <f>HYPERLINK("https://www.suredividend.com/sure-analysis-JJSF/","J&amp;J Snack Foods Corp.")</f>
        <v>0</v>
      </c>
      <c r="C889">
        <v>-0.08285487919965201</v>
      </c>
      <c r="D889">
        <v>-0.016435071722581</v>
      </c>
      <c r="E889">
        <v>-0.117170971595618</v>
      </c>
      <c r="F889">
        <v>-0.144486936153709</v>
      </c>
      <c r="G889">
        <v>-0.113028902449821</v>
      </c>
      <c r="H889">
        <v>0.033211018849664</v>
      </c>
      <c r="I889">
        <v>0.09191187015722201</v>
      </c>
    </row>
    <row r="890" spans="1:9">
      <c r="A890" s="1" t="s">
        <v>902</v>
      </c>
      <c r="B890">
        <f>HYPERLINK("https://www.suredividend.com/sure-analysis-research-database/","Jounce Therapeutics Inc")</f>
        <v>0</v>
      </c>
      <c r="C890">
        <v>-0.381538461538461</v>
      </c>
      <c r="D890">
        <v>-0.425714285714285</v>
      </c>
      <c r="E890">
        <v>-0.7261580381471391</v>
      </c>
      <c r="F890">
        <v>-0.759281437125748</v>
      </c>
      <c r="G890">
        <v>-0.73828125</v>
      </c>
      <c r="H890">
        <v>-0.790842872008324</v>
      </c>
      <c r="I890">
        <v>-0.8771393643031781</v>
      </c>
    </row>
    <row r="891" spans="1:9">
      <c r="A891" s="1" t="s">
        <v>903</v>
      </c>
      <c r="B891">
        <f>HYPERLINK("https://www.suredividend.com/sure-analysis-research-database/","JOANN Inc")</f>
        <v>0</v>
      </c>
      <c r="C891">
        <v>-0.382830626450115</v>
      </c>
      <c r="D891">
        <v>-0.335805336030063</v>
      </c>
      <c r="E891">
        <v>-0.469675824394912</v>
      </c>
      <c r="F891">
        <v>-0.46912545403744</v>
      </c>
      <c r="G891">
        <v>-0.470451808128365</v>
      </c>
      <c r="H891">
        <v>-0.5384949034916501</v>
      </c>
      <c r="I891">
        <v>-0.5384949034916501</v>
      </c>
    </row>
    <row r="892" spans="1:9">
      <c r="A892" s="1" t="s">
        <v>904</v>
      </c>
      <c r="B892">
        <f>HYPERLINK("https://www.suredividend.com/sure-analysis-research-database/","St. Joe Co.")</f>
        <v>0</v>
      </c>
      <c r="C892">
        <v>-0.154752553024351</v>
      </c>
      <c r="D892">
        <v>-0.190021303343044</v>
      </c>
      <c r="E892">
        <v>-0.418177099104555</v>
      </c>
      <c r="F892">
        <v>-0.375953324092493</v>
      </c>
      <c r="G892">
        <v>-0.254200321608783</v>
      </c>
      <c r="H892">
        <v>0.236866910361634</v>
      </c>
      <c r="I892">
        <v>0.7071326200889531</v>
      </c>
    </row>
    <row r="893" spans="1:9">
      <c r="A893" s="1" t="s">
        <v>905</v>
      </c>
      <c r="B893">
        <f>HYPERLINK("https://www.suredividend.com/sure-analysis-research-database/","Johnson Outdoors Inc")</f>
        <v>0</v>
      </c>
      <c r="C893">
        <v>-0.155398413245946</v>
      </c>
      <c r="D893">
        <v>-0.232386186399895</v>
      </c>
      <c r="E893">
        <v>-0.364100299964939</v>
      </c>
      <c r="F893">
        <v>-0.471086341347503</v>
      </c>
      <c r="G893">
        <v>-0.5478313541144391</v>
      </c>
      <c r="H893">
        <v>-0.44999713598672</v>
      </c>
      <c r="I893">
        <v>-0.296268513009763</v>
      </c>
    </row>
    <row r="894" spans="1:9">
      <c r="A894" s="1" t="s">
        <v>906</v>
      </c>
      <c r="B894">
        <f>HYPERLINK("https://www.suredividend.com/sure-analysis-research-database/","James River Group Holdings Ltd")</f>
        <v>0</v>
      </c>
      <c r="C894">
        <v>-0.068708609271523</v>
      </c>
      <c r="D894">
        <v>-0.04744163992447201</v>
      </c>
      <c r="E894">
        <v>-0.076737477482652</v>
      </c>
      <c r="F894">
        <v>-0.213998511837182</v>
      </c>
      <c r="G894">
        <v>-0.40027827088231</v>
      </c>
      <c r="H894">
        <v>-0.497528959080991</v>
      </c>
      <c r="I894">
        <v>-0.3737387794864651</v>
      </c>
    </row>
    <row r="895" spans="1:9">
      <c r="A895" s="1" t="s">
        <v>907</v>
      </c>
      <c r="B895">
        <f>HYPERLINK("https://www.suredividend.com/sure-analysis-research-database/","Joint Corp")</f>
        <v>0</v>
      </c>
      <c r="C895">
        <v>-0.204451345755693</v>
      </c>
      <c r="D895">
        <v>-0.025364616360177</v>
      </c>
      <c r="E895">
        <v>-0.5496630530325221</v>
      </c>
      <c r="F895">
        <v>-0.766022225605114</v>
      </c>
      <c r="G895">
        <v>-0.808114856429463</v>
      </c>
      <c r="H895">
        <v>-0.177194860813704</v>
      </c>
      <c r="I895">
        <v>2.277185501066097</v>
      </c>
    </row>
    <row r="896" spans="1:9">
      <c r="A896" s="1" t="s">
        <v>908</v>
      </c>
      <c r="B896">
        <f>HYPERLINK("https://www.suredividend.com/sure-analysis-research-database/","Kadant, Inc.")</f>
        <v>0</v>
      </c>
      <c r="C896">
        <v>-0.09928458303751801</v>
      </c>
      <c r="D896">
        <v>-0.101372758948541</v>
      </c>
      <c r="E896">
        <v>-0.128605800982081</v>
      </c>
      <c r="F896">
        <v>-0.281586477290893</v>
      </c>
      <c r="G896">
        <v>-0.18939574522462</v>
      </c>
      <c r="H896">
        <v>0.423507509384033</v>
      </c>
      <c r="I896">
        <v>0.7204348184379541</v>
      </c>
    </row>
    <row r="897" spans="1:9">
      <c r="A897" s="1" t="s">
        <v>909</v>
      </c>
      <c r="B897">
        <f>HYPERLINK("https://www.suredividend.com/sure-analysis-research-database/","Kala Pharmaceuticals Inc")</f>
        <v>0</v>
      </c>
      <c r="C897">
        <v>-0.293411420204978</v>
      </c>
      <c r="D897">
        <v>-0.288620283018868</v>
      </c>
      <c r="E897">
        <v>-0.7657281553398051</v>
      </c>
      <c r="F897">
        <v>-0.8005785123966941</v>
      </c>
      <c r="G897">
        <v>-0.896437768240343</v>
      </c>
      <c r="H897">
        <v>-0.9719744483159111</v>
      </c>
      <c r="I897">
        <v>-0.9894259421560031</v>
      </c>
    </row>
    <row r="898" spans="1:9">
      <c r="A898" s="1" t="s">
        <v>910</v>
      </c>
      <c r="B898">
        <f>HYPERLINK("https://www.suredividend.com/sure-analysis-research-database/","Kaiser Aluminum Corp")</f>
        <v>0</v>
      </c>
      <c r="C898">
        <v>-0.098498576236085</v>
      </c>
      <c r="D898">
        <v>-0.048980572714412</v>
      </c>
      <c r="E898">
        <v>-0.200890321766416</v>
      </c>
      <c r="F898">
        <v>-0.239028184910141</v>
      </c>
      <c r="G898">
        <v>-0.34414034360831</v>
      </c>
      <c r="H898">
        <v>0.182219687479843</v>
      </c>
      <c r="I898">
        <v>-0.23814753357784</v>
      </c>
    </row>
    <row r="899" spans="1:9">
      <c r="A899" s="1" t="s">
        <v>911</v>
      </c>
      <c r="B899">
        <f>HYPERLINK("https://www.suredividend.com/sure-analysis-research-database/","KalVista Pharmaceuticals Inc")</f>
        <v>0</v>
      </c>
      <c r="C899">
        <v>-0.7044738500315061</v>
      </c>
      <c r="D899">
        <v>-0.576332429990966</v>
      </c>
      <c r="E899">
        <v>-0.6694855532064831</v>
      </c>
      <c r="F899">
        <v>-0.645502645502645</v>
      </c>
      <c r="G899">
        <v>-0.730459770114942</v>
      </c>
      <c r="H899">
        <v>-0.652849740932642</v>
      </c>
      <c r="I899">
        <v>-0.539744847890088</v>
      </c>
    </row>
    <row r="900" spans="1:9">
      <c r="A900" s="1" t="s">
        <v>912</v>
      </c>
      <c r="B900">
        <f>HYPERLINK("https://www.suredividend.com/sure-analysis-research-database/","Kaman Corp.")</f>
        <v>0</v>
      </c>
      <c r="C900">
        <v>-0.121670177938565</v>
      </c>
      <c r="D900">
        <v>-0.037714201117731</v>
      </c>
      <c r="E900">
        <v>-0.293335112349833</v>
      </c>
      <c r="F900">
        <v>-0.325487606424376</v>
      </c>
      <c r="G900">
        <v>-0.233003381757816</v>
      </c>
      <c r="H900">
        <v>-0.295946275285006</v>
      </c>
      <c r="I900">
        <v>-0.441192331439379</v>
      </c>
    </row>
    <row r="901" spans="1:9">
      <c r="A901" s="1" t="s">
        <v>913</v>
      </c>
      <c r="B901">
        <f>HYPERLINK("https://www.suredividend.com/sure-analysis-research-database/","KAR Auction Services Inc")</f>
        <v>0</v>
      </c>
      <c r="C901">
        <v>-0.089311859443631</v>
      </c>
      <c r="D901">
        <v>-0.211160431198478</v>
      </c>
      <c r="E901">
        <v>-0.306190741773563</v>
      </c>
      <c r="F901">
        <v>-0.203585147247119</v>
      </c>
      <c r="G901">
        <v>-0.198969735994848</v>
      </c>
      <c r="H901">
        <v>-0.260404280618311</v>
      </c>
      <c r="I901">
        <v>-0.262246471355711</v>
      </c>
    </row>
    <row r="902" spans="1:9">
      <c r="A902" s="1" t="s">
        <v>914</v>
      </c>
      <c r="B902">
        <f>HYPERLINK("https://www.suredividend.com/sure-analysis-research-database/","Kimball International, Inc.")</f>
        <v>0</v>
      </c>
      <c r="C902">
        <v>-0.14211216039125</v>
      </c>
      <c r="D902">
        <v>-0.1782700967959</v>
      </c>
      <c r="E902">
        <v>-0.183174684846925</v>
      </c>
      <c r="F902">
        <v>-0.357098743558331</v>
      </c>
      <c r="G902">
        <v>-0.4129013766769291</v>
      </c>
      <c r="H902">
        <v>-0.383626798159616</v>
      </c>
      <c r="I902">
        <v>-0.637583969226027</v>
      </c>
    </row>
    <row r="903" spans="1:9">
      <c r="A903" s="1" t="s">
        <v>915</v>
      </c>
      <c r="B903">
        <f>HYPERLINK("https://www.suredividend.com/sure-analysis-research-database/","KB Home")</f>
        <v>0</v>
      </c>
      <c r="C903">
        <v>-0.06061632238401601</v>
      </c>
      <c r="D903">
        <v>-0.08963516489286601</v>
      </c>
      <c r="E903">
        <v>-0.09736074007308301</v>
      </c>
      <c r="F903">
        <v>-0.371752886448977</v>
      </c>
      <c r="G903">
        <v>-0.275006272476373</v>
      </c>
      <c r="H903">
        <v>-0.298575658501925</v>
      </c>
      <c r="I903">
        <v>0.105346626182449</v>
      </c>
    </row>
    <row r="904" spans="1:9">
      <c r="A904" s="1" t="s">
        <v>916</v>
      </c>
      <c r="B904">
        <f>HYPERLINK("https://www.suredividend.com/sure-analysis-research-database/","KBR Inc")</f>
        <v>0</v>
      </c>
      <c r="C904">
        <v>-0.05642504118616101</v>
      </c>
      <c r="D904">
        <v>-0.05233658390295801</v>
      </c>
      <c r="E904">
        <v>-0.15584918035203</v>
      </c>
      <c r="F904">
        <v>-0.030904460969687</v>
      </c>
      <c r="G904">
        <v>0.11071517743081</v>
      </c>
      <c r="H904">
        <v>0.9210209668831411</v>
      </c>
      <c r="I904">
        <v>1.775254085353296</v>
      </c>
    </row>
    <row r="905" spans="1:9">
      <c r="A905" s="1" t="s">
        <v>917</v>
      </c>
      <c r="B905">
        <f>HYPERLINK("https://www.suredividend.com/sure-analysis-research-database/","Chinook Therapeutics Inc")</f>
        <v>0</v>
      </c>
      <c r="C905">
        <v>-0.184682713347921</v>
      </c>
      <c r="D905">
        <v>0.006482982171798</v>
      </c>
      <c r="E905">
        <v>0.207388204795852</v>
      </c>
      <c r="F905">
        <v>0.142244022072348</v>
      </c>
      <c r="G905">
        <v>0.51586655817738</v>
      </c>
      <c r="H905">
        <v>0.140845070422535</v>
      </c>
      <c r="I905">
        <v>-0.632906403940886</v>
      </c>
    </row>
    <row r="906" spans="1:9">
      <c r="A906" s="1" t="s">
        <v>918</v>
      </c>
      <c r="B906">
        <f>HYPERLINK("https://www.suredividend.com/sure-analysis-research-database/","Kimball Electronics Inc")</f>
        <v>0</v>
      </c>
      <c r="C906">
        <v>-0.156400384985563</v>
      </c>
      <c r="D906">
        <v>-0.085550339071465</v>
      </c>
      <c r="E906">
        <v>-0.01183765501691</v>
      </c>
      <c r="F906">
        <v>-0.194393382352941</v>
      </c>
      <c r="G906">
        <v>-0.37235947010383</v>
      </c>
      <c r="H906">
        <v>0.426362896663954</v>
      </c>
      <c r="I906">
        <v>-0.20136674259681</v>
      </c>
    </row>
    <row r="907" spans="1:9">
      <c r="A907" s="1" t="s">
        <v>919</v>
      </c>
      <c r="B907">
        <f>HYPERLINK("https://www.suredividend.com/sure-analysis-research-database/","Kelly Services, Inc.")</f>
        <v>0</v>
      </c>
      <c r="C907">
        <v>-0.078328981723237</v>
      </c>
      <c r="D907">
        <v>-0.278756519029692</v>
      </c>
      <c r="E907">
        <v>-0.320539718591804</v>
      </c>
      <c r="F907">
        <v>-0.149202829563394</v>
      </c>
      <c r="G907">
        <v>-0.274103167830226</v>
      </c>
      <c r="H907">
        <v>-0.22682670404766</v>
      </c>
      <c r="I907">
        <v>-0.4302500121051691</v>
      </c>
    </row>
    <row r="908" spans="1:9">
      <c r="A908" s="1" t="s">
        <v>920</v>
      </c>
      <c r="B908">
        <f>HYPERLINK("https://www.suredividend.com/sure-analysis-research-database/","Kforce Inc.")</f>
        <v>0</v>
      </c>
      <c r="C908">
        <v>0.019981663250997</v>
      </c>
      <c r="D908">
        <v>-0.035803674843429</v>
      </c>
      <c r="E908">
        <v>-0.16235294117647</v>
      </c>
      <c r="F908">
        <v>-0.184332499066672</v>
      </c>
      <c r="G908">
        <v>-0.08760059459736501</v>
      </c>
      <c r="H908">
        <v>0.7250471024510371</v>
      </c>
      <c r="I908">
        <v>2.228370398425289</v>
      </c>
    </row>
    <row r="909" spans="1:9">
      <c r="A909" s="1" t="s">
        <v>921</v>
      </c>
      <c r="B909">
        <f>HYPERLINK("https://www.suredividend.com/sure-analysis-research-database/","Korn Ferry")</f>
        <v>0</v>
      </c>
      <c r="C909">
        <v>-0.030091825169811</v>
      </c>
      <c r="D909">
        <v>-0.174720738421571</v>
      </c>
      <c r="E909">
        <v>-0.219031300828149</v>
      </c>
      <c r="F909">
        <v>-0.330990737306174</v>
      </c>
      <c r="G909">
        <v>-0.333061185539409</v>
      </c>
      <c r="H909">
        <v>0.6369391320188801</v>
      </c>
      <c r="I909">
        <v>0.313683770836324</v>
      </c>
    </row>
    <row r="910" spans="1:9">
      <c r="A910" s="1" t="s">
        <v>922</v>
      </c>
      <c r="B910">
        <f>HYPERLINK("https://www.suredividend.com/sure-analysis-research-database/","OrthoPediatrics corp")</f>
        <v>0</v>
      </c>
      <c r="C910">
        <v>-0.174841315637622</v>
      </c>
      <c r="D910">
        <v>-0.028532608695652</v>
      </c>
      <c r="E910">
        <v>-0.169570267131242</v>
      </c>
      <c r="F910">
        <v>-0.283327764784497</v>
      </c>
      <c r="G910">
        <v>-0.276193689893706</v>
      </c>
      <c r="H910">
        <v>-0.082941427960667</v>
      </c>
      <c r="I910">
        <v>1.232049947970863</v>
      </c>
    </row>
    <row r="911" spans="1:9">
      <c r="A911" s="1" t="s">
        <v>923</v>
      </c>
      <c r="B911">
        <f>HYPERLINK("https://www.suredividend.com/sure-analysis-research-database/","Kirkland`s Inc")</f>
        <v>0</v>
      </c>
      <c r="C911">
        <v>-0.167053364269141</v>
      </c>
      <c r="D911">
        <v>-0.149289099526066</v>
      </c>
      <c r="E911">
        <v>-0.575650118203309</v>
      </c>
      <c r="F911">
        <v>-0.75954454119223</v>
      </c>
      <c r="G911">
        <v>-0.8312176774800181</v>
      </c>
      <c r="H911">
        <v>-0.6682070240295741</v>
      </c>
      <c r="I911">
        <v>-0.694987255734919</v>
      </c>
    </row>
    <row r="912" spans="1:9">
      <c r="A912" s="1" t="s">
        <v>924</v>
      </c>
      <c r="B912">
        <f>HYPERLINK("https://www.suredividend.com/sure-analysis-research-database/","Kaleido Biosciences Inc")</f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>
      <c r="A913" s="1" t="s">
        <v>925</v>
      </c>
      <c r="B913">
        <f>HYPERLINK("https://www.suredividend.com/sure-analysis-KLIC/","Kulicke &amp; Soffa Industries, Inc.")</f>
        <v>0</v>
      </c>
      <c r="C913">
        <v>-0.07427406225541701</v>
      </c>
      <c r="D913">
        <v>-0.046034918089676</v>
      </c>
      <c r="E913">
        <v>-0.232159162271391</v>
      </c>
      <c r="F913">
        <v>-0.334393138872375</v>
      </c>
      <c r="G913">
        <v>-0.233376030403391</v>
      </c>
      <c r="H913">
        <v>0.630872840198192</v>
      </c>
      <c r="I913">
        <v>0.9802767220607591</v>
      </c>
    </row>
    <row r="914" spans="1:9">
      <c r="A914" s="1" t="s">
        <v>926</v>
      </c>
      <c r="B914">
        <f>HYPERLINK("https://www.suredividend.com/sure-analysis-research-database/","Kaltura Inc")</f>
        <v>0</v>
      </c>
      <c r="C914">
        <v>-0.06132075471698101</v>
      </c>
      <c r="D914">
        <v>0.010152284263959</v>
      </c>
      <c r="E914">
        <v>0.198795180722891</v>
      </c>
      <c r="F914">
        <v>-0.409495548961424</v>
      </c>
      <c r="G914">
        <v>-0.787393162393162</v>
      </c>
      <c r="H914">
        <v>-0.8341666666666661</v>
      </c>
      <c r="I914">
        <v>-0.8341666666666661</v>
      </c>
    </row>
    <row r="915" spans="1:9">
      <c r="A915" s="1" t="s">
        <v>927</v>
      </c>
      <c r="B915">
        <f>HYPERLINK("https://www.suredividend.com/sure-analysis-research-database/","KemPharm Inc")</f>
        <v>0</v>
      </c>
      <c r="C915">
        <v>-0.055016181229773</v>
      </c>
      <c r="D915">
        <v>0.214137214137214</v>
      </c>
      <c r="E915">
        <v>0.224318658280922</v>
      </c>
      <c r="F915">
        <v>-0.329506314580941</v>
      </c>
      <c r="G915">
        <v>-0.334093500570125</v>
      </c>
      <c r="H915">
        <v>27.3495145631068</v>
      </c>
      <c r="I915">
        <v>0.5168831168831161</v>
      </c>
    </row>
    <row r="916" spans="1:9">
      <c r="A916" s="1" t="s">
        <v>928</v>
      </c>
      <c r="B916">
        <f>HYPERLINK("https://www.suredividend.com/sure-analysis-research-database/","Kennametal Inc.")</f>
        <v>0</v>
      </c>
      <c r="C916">
        <v>-0.067839195979899</v>
      </c>
      <c r="D916">
        <v>-0.027276461488712</v>
      </c>
      <c r="E916">
        <v>-0.132268614709333</v>
      </c>
      <c r="F916">
        <v>-0.3666420076253341</v>
      </c>
      <c r="G916">
        <v>-0.343031440638198</v>
      </c>
      <c r="H916">
        <v>-0.315011585720483</v>
      </c>
      <c r="I916">
        <v>-0.382551675931165</v>
      </c>
    </row>
    <row r="917" spans="1:9">
      <c r="A917" s="1" t="s">
        <v>929</v>
      </c>
      <c r="B917">
        <f>HYPERLINK("https://www.suredividend.com/sure-analysis-research-database/","Knowles Corp")</f>
        <v>0</v>
      </c>
      <c r="C917">
        <v>-0.130219391365888</v>
      </c>
      <c r="D917">
        <v>-0.309550561797752</v>
      </c>
      <c r="E917">
        <v>-0.365513680949922</v>
      </c>
      <c r="F917">
        <v>-0.4736616702355461</v>
      </c>
      <c r="G917">
        <v>-0.343482905982906</v>
      </c>
      <c r="H917">
        <v>-0.227044025157232</v>
      </c>
      <c r="I917">
        <v>-0.213691618682021</v>
      </c>
    </row>
    <row r="918" spans="1:9">
      <c r="A918" s="1" t="s">
        <v>930</v>
      </c>
      <c r="B918">
        <f>HYPERLINK("https://www.suredividend.com/sure-analysis-research-database/","Kiniksa Pharmaceuticals Ltd")</f>
        <v>0</v>
      </c>
      <c r="C918">
        <v>0.281135531135531</v>
      </c>
      <c r="D918">
        <v>0.263775971093044</v>
      </c>
      <c r="E918">
        <v>0.226117440841367</v>
      </c>
      <c r="F918">
        <v>0.188615123194562</v>
      </c>
      <c r="G918">
        <v>0.250223413762287</v>
      </c>
      <c r="H918">
        <v>-0.332219570405727</v>
      </c>
      <c r="I918">
        <v>-0.28145865434001</v>
      </c>
    </row>
    <row r="919" spans="1:9">
      <c r="A919" s="1" t="s">
        <v>931</v>
      </c>
      <c r="B919">
        <f>HYPERLINK("https://www.suredividend.com/sure-analysis-research-database/","Kinsale Capital Group Inc")</f>
        <v>0</v>
      </c>
      <c r="C919">
        <v>0.106027330405075</v>
      </c>
      <c r="D919">
        <v>0.187298460506772</v>
      </c>
      <c r="E919">
        <v>0.172111883132751</v>
      </c>
      <c r="F919">
        <v>0.145131223742934</v>
      </c>
      <c r="G919">
        <v>0.656926372638141</v>
      </c>
      <c r="H919">
        <v>0.310929036294826</v>
      </c>
      <c r="I919">
        <v>5.764807577977498</v>
      </c>
    </row>
    <row r="920" spans="1:9">
      <c r="A920" s="1" t="s">
        <v>932</v>
      </c>
      <c r="B920">
        <f>HYPERLINK("https://www.suredividend.com/sure-analysis-research-database/","Kinnate Biopharma Inc")</f>
        <v>0</v>
      </c>
      <c r="C920">
        <v>-0.218793828892005</v>
      </c>
      <c r="D920">
        <v>-0.147013782542113</v>
      </c>
      <c r="E920">
        <v>0.110667996011964</v>
      </c>
      <c r="F920">
        <v>-0.371331828442437</v>
      </c>
      <c r="G920">
        <v>-0.46800382043935</v>
      </c>
      <c r="H920">
        <v>-0.7145785293364071</v>
      </c>
      <c r="I920">
        <v>-0.7145785293364071</v>
      </c>
    </row>
    <row r="921" spans="1:9">
      <c r="A921" s="1" t="s">
        <v>933</v>
      </c>
      <c r="B921">
        <f>HYPERLINK("https://www.suredividend.com/sure-analysis-research-database/","Kinetik Holdings Inc")</f>
        <v>0</v>
      </c>
      <c r="C921">
        <v>-0.06856681903737501</v>
      </c>
      <c r="D921">
        <v>-0.007338928992064</v>
      </c>
      <c r="E921">
        <v>0.04039958071656601</v>
      </c>
      <c r="F921">
        <v>-0.435002446582939</v>
      </c>
      <c r="G921">
        <v>-0.565102760793963</v>
      </c>
      <c r="H921">
        <v>2.643899308879375</v>
      </c>
      <c r="I921">
        <v>2.567088868293688</v>
      </c>
    </row>
    <row r="922" spans="1:9">
      <c r="A922" s="1" t="s">
        <v>934</v>
      </c>
      <c r="B922">
        <f>HYPERLINK("https://www.suredividend.com/sure-analysis-research-database/","Kodiak Sciences Inc")</f>
        <v>0</v>
      </c>
      <c r="C922">
        <v>-0.314453125</v>
      </c>
      <c r="D922">
        <v>-0.251599147121535</v>
      </c>
      <c r="E922">
        <v>-0.02635228848821</v>
      </c>
      <c r="F922">
        <v>-0.917197452229299</v>
      </c>
      <c r="G922">
        <v>-0.9318446601941741</v>
      </c>
      <c r="H922">
        <v>-0.9014736842105261</v>
      </c>
      <c r="I922">
        <v>-0.309055118110236</v>
      </c>
    </row>
    <row r="923" spans="1:9">
      <c r="A923" s="1" t="s">
        <v>935</v>
      </c>
      <c r="B923">
        <f>HYPERLINK("https://www.suredividend.com/sure-analysis-research-database/","Eastman Kodak Co.")</f>
        <v>0</v>
      </c>
      <c r="C923">
        <v>-0.162062615101289</v>
      </c>
      <c r="D923">
        <v>-0.08266129032258</v>
      </c>
      <c r="E923">
        <v>-0.284591194968553</v>
      </c>
      <c r="F923">
        <v>-0.027777777777777</v>
      </c>
      <c r="G923">
        <v>-0.337700145560407</v>
      </c>
      <c r="H923">
        <v>-0.5454545454545451</v>
      </c>
      <c r="I923">
        <v>-0.35</v>
      </c>
    </row>
    <row r="924" spans="1:9">
      <c r="A924" s="1" t="s">
        <v>936</v>
      </c>
      <c r="B924">
        <f>HYPERLINK("https://www.suredividend.com/sure-analysis-research-database/","Koppers Holdings Inc")</f>
        <v>0</v>
      </c>
      <c r="C924">
        <v>-0.028991778450886</v>
      </c>
      <c r="D924">
        <v>0.025776989499956</v>
      </c>
      <c r="E924">
        <v>-0.08489215674280301</v>
      </c>
      <c r="F924">
        <v>-0.278945795617764</v>
      </c>
      <c r="G924">
        <v>-0.320210116872966</v>
      </c>
      <c r="H924">
        <v>-0.051724137931034</v>
      </c>
      <c r="I924">
        <v>-0.524863165249796</v>
      </c>
    </row>
    <row r="925" spans="1:9">
      <c r="A925" s="1" t="s">
        <v>937</v>
      </c>
      <c r="B925">
        <f>HYPERLINK("https://www.suredividend.com/sure-analysis-research-database/","Kopin Corp.")</f>
        <v>0</v>
      </c>
      <c r="C925">
        <v>-0.233082706766917</v>
      </c>
      <c r="D925">
        <v>-0.221374045801526</v>
      </c>
      <c r="E925">
        <v>-0.5255813953488371</v>
      </c>
      <c r="F925">
        <v>-0.750611246943765</v>
      </c>
      <c r="G925">
        <v>-0.7896907216494841</v>
      </c>
      <c r="H925">
        <v>-0.301369863013698</v>
      </c>
      <c r="I925">
        <v>-0.7548076923076921</v>
      </c>
    </row>
    <row r="926" spans="1:9">
      <c r="A926" s="1" t="s">
        <v>938</v>
      </c>
      <c r="B926">
        <f>HYPERLINK("https://www.suredividend.com/sure-analysis-research-database/","Kosmos Energy Ltd")</f>
        <v>0</v>
      </c>
      <c r="C926">
        <v>-0.075590551181102</v>
      </c>
      <c r="D926">
        <v>0.05385996409335701</v>
      </c>
      <c r="E926">
        <v>-0.235677083333333</v>
      </c>
      <c r="F926">
        <v>0.696531791907514</v>
      </c>
      <c r="G926">
        <v>0.8401253918495299</v>
      </c>
      <c r="H926">
        <v>4.194690265486726</v>
      </c>
      <c r="I926">
        <v>-0.187059426371404</v>
      </c>
    </row>
    <row r="927" spans="1:9">
      <c r="A927" s="1" t="s">
        <v>939</v>
      </c>
      <c r="B927">
        <f>HYPERLINK("https://www.suredividend.com/sure-analysis-research-database/","Karyopharm Therapeutics Inc")</f>
        <v>0</v>
      </c>
      <c r="C927">
        <v>-0.046728971962616</v>
      </c>
      <c r="D927">
        <v>-0.028571428571428</v>
      </c>
      <c r="E927">
        <v>-0.37037037037037</v>
      </c>
      <c r="F927">
        <v>-0.206842923794712</v>
      </c>
      <c r="G927">
        <v>-0.105263157894736</v>
      </c>
      <c r="H927">
        <v>-0.656102494942683</v>
      </c>
      <c r="I927">
        <v>-0.5534150612959721</v>
      </c>
    </row>
    <row r="928" spans="1:9">
      <c r="A928" s="1" t="s">
        <v>940</v>
      </c>
      <c r="B928">
        <f>HYPERLINK("https://www.suredividend.com/sure-analysis-KREF/","KKR Real Estate Finance Trust Inc")</f>
        <v>0</v>
      </c>
      <c r="C928">
        <v>-0.141592781646908</v>
      </c>
      <c r="D928">
        <v>-0.054355833870522</v>
      </c>
      <c r="E928">
        <v>-0.144965548824913</v>
      </c>
      <c r="F928">
        <v>-0.154383003252769</v>
      </c>
      <c r="G928">
        <v>-0.171202437461851</v>
      </c>
      <c r="H928">
        <v>0.133478668800706</v>
      </c>
      <c r="I928">
        <v>0.20125169988448</v>
      </c>
    </row>
    <row r="929" spans="1:9">
      <c r="A929" s="1" t="s">
        <v>941</v>
      </c>
      <c r="B929">
        <f>HYPERLINK("https://www.suredividend.com/sure-analysis-KRG/","Kite Realty Group Trust")</f>
        <v>0</v>
      </c>
      <c r="C929">
        <v>-0.119791932275995</v>
      </c>
      <c r="D929">
        <v>0.004720907625051</v>
      </c>
      <c r="E929">
        <v>-0.19726157366497</v>
      </c>
      <c r="F929">
        <v>-0.173486441059431</v>
      </c>
      <c r="G929">
        <v>-0.169673353538268</v>
      </c>
      <c r="H929">
        <v>0.552353713597035</v>
      </c>
      <c r="I929">
        <v>0.118476901443133</v>
      </c>
    </row>
    <row r="930" spans="1:9">
      <c r="A930" s="1" t="s">
        <v>942</v>
      </c>
      <c r="B930">
        <f>HYPERLINK("https://www.suredividend.com/sure-analysis-research-database/","Kearny Financial Corp.")</f>
        <v>0</v>
      </c>
      <c r="C930">
        <v>-0.099027409372237</v>
      </c>
      <c r="D930">
        <v>-0.066661781677627</v>
      </c>
      <c r="E930">
        <v>-0.160805758239586</v>
      </c>
      <c r="F930">
        <v>-0.209991782053866</v>
      </c>
      <c r="G930">
        <v>-0.198798591017738</v>
      </c>
      <c r="H930">
        <v>0.369108400064491</v>
      </c>
      <c r="I930">
        <v>-0.246106610439093</v>
      </c>
    </row>
    <row r="931" spans="1:9">
      <c r="A931" s="1" t="s">
        <v>943</v>
      </c>
      <c r="B931">
        <f>HYPERLINK("https://www.suredividend.com/sure-analysis-research-database/","Kronos Worldwide, Inc.")</f>
        <v>0</v>
      </c>
      <c r="C931">
        <v>-0.306426332288401</v>
      </c>
      <c r="D931">
        <v>-0.474265754205874</v>
      </c>
      <c r="E931">
        <v>-0.408094062882481</v>
      </c>
      <c r="F931">
        <v>-0.388347501555048</v>
      </c>
      <c r="G931">
        <v>-0.275101158199957</v>
      </c>
      <c r="H931">
        <v>-0.287468298377682</v>
      </c>
      <c r="I931">
        <v>-0.528239025560382</v>
      </c>
    </row>
    <row r="932" spans="1:9">
      <c r="A932" s="1" t="s">
        <v>944</v>
      </c>
      <c r="B932">
        <f>HYPERLINK("https://www.suredividend.com/sure-analysis-research-database/","Kronos Bio Inc")</f>
        <v>0</v>
      </c>
      <c r="C932">
        <v>-0.407331975560081</v>
      </c>
      <c r="D932">
        <v>-0.3533333333333331</v>
      </c>
      <c r="E932">
        <v>-0.5854700854700851</v>
      </c>
      <c r="F932">
        <v>-0.7858719646799111</v>
      </c>
      <c r="G932">
        <v>-0.836148648648648</v>
      </c>
      <c r="H932">
        <v>-0.8925009235315841</v>
      </c>
      <c r="I932">
        <v>-0.8925009235315841</v>
      </c>
    </row>
    <row r="933" spans="1:9">
      <c r="A933" s="1" t="s">
        <v>945</v>
      </c>
      <c r="B933">
        <f>HYPERLINK("https://www.suredividend.com/sure-analysis-research-database/","Keros Therapeutics Inc")</f>
        <v>0</v>
      </c>
      <c r="C933">
        <v>0.085193738773415</v>
      </c>
      <c r="D933">
        <v>0.457270847691247</v>
      </c>
      <c r="E933">
        <v>-0.349884704073789</v>
      </c>
      <c r="F933">
        <v>-0.277217569646214</v>
      </c>
      <c r="G933">
        <v>0.144519621109607</v>
      </c>
      <c r="H933">
        <v>-0.07299430074528701</v>
      </c>
      <c r="I933">
        <v>1.106075697211155</v>
      </c>
    </row>
    <row r="934" spans="1:9">
      <c r="A934" s="1" t="s">
        <v>946</v>
      </c>
      <c r="B934">
        <f>HYPERLINK("https://www.suredividend.com/sure-analysis-research-database/","Karat Packaging Inc")</f>
        <v>0</v>
      </c>
      <c r="C934">
        <v>-0.156100159829515</v>
      </c>
      <c r="D934">
        <v>-0.125345113197128</v>
      </c>
      <c r="E934">
        <v>-0.136784741144414</v>
      </c>
      <c r="F934">
        <v>-0.216229589312221</v>
      </c>
      <c r="G934">
        <v>-0.176287051482059</v>
      </c>
      <c r="H934">
        <v>-0.14655172413793</v>
      </c>
      <c r="I934">
        <v>-0.14655172413793</v>
      </c>
    </row>
    <row r="935" spans="1:9">
      <c r="A935" s="1" t="s">
        <v>947</v>
      </c>
      <c r="B935">
        <f>HYPERLINK("https://www.suredividend.com/sure-analysis-research-database/","Karuna Therapeutics Inc")</f>
        <v>0</v>
      </c>
      <c r="C935">
        <v>-0.173179645768906</v>
      </c>
      <c r="D935">
        <v>0.5040181180596141</v>
      </c>
      <c r="E935">
        <v>0.519896640826873</v>
      </c>
      <c r="F935">
        <v>0.571526717557252</v>
      </c>
      <c r="G935">
        <v>0.727677072843236</v>
      </c>
      <c r="H935">
        <v>1.582413447064726</v>
      </c>
      <c r="I935">
        <v>9.283216783216783</v>
      </c>
    </row>
    <row r="936" spans="1:9">
      <c r="A936" s="1" t="s">
        <v>948</v>
      </c>
      <c r="B936">
        <f>HYPERLINK("https://www.suredividend.com/sure-analysis-research-database/","Kura Sushi USA Inc")</f>
        <v>0</v>
      </c>
      <c r="C936">
        <v>-0.038466640137949</v>
      </c>
      <c r="D936">
        <v>0.002766634389265</v>
      </c>
      <c r="E936">
        <v>0.403484995159728</v>
      </c>
      <c r="F936">
        <v>-0.103290450272142</v>
      </c>
      <c r="G936">
        <v>0.571087993064586</v>
      </c>
      <c r="H936">
        <v>3.88806473364801</v>
      </c>
      <c r="I936">
        <v>2.696583375828659</v>
      </c>
    </row>
    <row r="937" spans="1:9">
      <c r="A937" s="1" t="s">
        <v>949</v>
      </c>
      <c r="B937">
        <f>HYPERLINK("https://www.suredividend.com/sure-analysis-research-database/","Krystal Biotech Inc")</f>
        <v>0</v>
      </c>
      <c r="C937">
        <v>-0.108695652173913</v>
      </c>
      <c r="D937">
        <v>-0.136133533999179</v>
      </c>
      <c r="E937">
        <v>-0.07147058823529401</v>
      </c>
      <c r="F937">
        <v>-0.09735525375268</v>
      </c>
      <c r="G937">
        <v>0.223643410852713</v>
      </c>
      <c r="H937">
        <v>0.245364891518737</v>
      </c>
      <c r="I937">
        <v>5.276341948310139</v>
      </c>
    </row>
    <row r="938" spans="1:9">
      <c r="A938" s="1" t="s">
        <v>950</v>
      </c>
      <c r="B938">
        <f>HYPERLINK("https://www.suredividend.com/sure-analysis-KTB/","Kontoor Brands Inc")</f>
        <v>0</v>
      </c>
      <c r="C938">
        <v>-0.095419847328244</v>
      </c>
      <c r="D938">
        <v>0.002853205019706</v>
      </c>
      <c r="E938">
        <v>-0.156731534123399</v>
      </c>
      <c r="F938">
        <v>-0.329275565051982</v>
      </c>
      <c r="G938">
        <v>-0.280876472436849</v>
      </c>
      <c r="H938">
        <v>0.300289214418396</v>
      </c>
      <c r="I938">
        <v>-0.18074074074074</v>
      </c>
    </row>
    <row r="939" spans="1:9">
      <c r="A939" s="1" t="s">
        <v>951</v>
      </c>
      <c r="B939">
        <f>HYPERLINK("https://www.suredividend.com/sure-analysis-research-database/","Kratos Defense &amp; Security Solutions Inc")</f>
        <v>0</v>
      </c>
      <c r="C939">
        <v>-0.220459952418715</v>
      </c>
      <c r="D939">
        <v>-0.288196958725561</v>
      </c>
      <c r="E939">
        <v>-0.493560020607934</v>
      </c>
      <c r="F939">
        <v>-0.493298969072164</v>
      </c>
      <c r="G939">
        <v>-0.5578047683310841</v>
      </c>
      <c r="H939">
        <v>-0.529439923408329</v>
      </c>
      <c r="I939">
        <v>-0.268056589724497</v>
      </c>
    </row>
    <row r="940" spans="1:9">
      <c r="A940" s="1" t="s">
        <v>952</v>
      </c>
      <c r="B940">
        <f>HYPERLINK("https://www.suredividend.com/sure-analysis-research-database/","Kura Oncology Inc")</f>
        <v>0</v>
      </c>
      <c r="C940">
        <v>-0.011748445058742</v>
      </c>
      <c r="D940">
        <v>-0.238551650692225</v>
      </c>
      <c r="E940">
        <v>-0.12</v>
      </c>
      <c r="F940">
        <v>0.021428571428571</v>
      </c>
      <c r="G940">
        <v>-0.23570283270978</v>
      </c>
      <c r="H940">
        <v>-0.5662723688201391</v>
      </c>
      <c r="I940">
        <v>0.025089605734767</v>
      </c>
    </row>
    <row r="941" spans="1:9">
      <c r="A941" s="1" t="s">
        <v>953</v>
      </c>
      <c r="B941">
        <f>HYPERLINK("https://www.suredividend.com/sure-analysis-research-database/","KVH Industries, Inc.")</f>
        <v>0</v>
      </c>
      <c r="C941">
        <v>-0.09654471544715401</v>
      </c>
      <c r="D941">
        <v>0.050827423167848</v>
      </c>
      <c r="E941">
        <v>0.013683010262257</v>
      </c>
      <c r="F941">
        <v>-0.032644178454842</v>
      </c>
      <c r="G941">
        <v>-0.102926337033299</v>
      </c>
      <c r="H941">
        <v>-0.06421052631578901</v>
      </c>
      <c r="I941">
        <v>-0.271311475409836</v>
      </c>
    </row>
    <row r="942" spans="1:9">
      <c r="A942" s="1" t="s">
        <v>954</v>
      </c>
      <c r="B942">
        <f>HYPERLINK("https://www.suredividend.com/sure-analysis-research-database/","Kennedy-Wilson Holdings Inc")</f>
        <v>0</v>
      </c>
      <c r="C942">
        <v>-0.197025280680949</v>
      </c>
      <c r="D942">
        <v>-0.221252445342562</v>
      </c>
      <c r="E942">
        <v>-0.373881932021466</v>
      </c>
      <c r="F942">
        <v>-0.370249162287964</v>
      </c>
      <c r="G942">
        <v>-0.304432144931571</v>
      </c>
      <c r="H942">
        <v>0.08199732674228401</v>
      </c>
      <c r="I942">
        <v>-0.043084319526627</v>
      </c>
    </row>
    <row r="943" spans="1:9">
      <c r="A943" s="1" t="s">
        <v>955</v>
      </c>
      <c r="B943">
        <f>HYPERLINK("https://www.suredividend.com/sure-analysis-research-database/","Quaker Houghton")</f>
        <v>0</v>
      </c>
      <c r="C943">
        <v>-0.233951577076854</v>
      </c>
      <c r="D943">
        <v>-0.018145972049722</v>
      </c>
      <c r="E943">
        <v>-0.155579632299155</v>
      </c>
      <c r="F943">
        <v>-0.397722127894219</v>
      </c>
      <c r="G943">
        <v>-0.401697020585612</v>
      </c>
      <c r="H943">
        <v>-0.279068260398767</v>
      </c>
      <c r="I943">
        <v>-0.053936262941939</v>
      </c>
    </row>
    <row r="944" spans="1:9">
      <c r="A944" s="1" t="s">
        <v>956</v>
      </c>
      <c r="B944">
        <f>HYPERLINK("https://www.suredividend.com/sure-analysis-research-database/","Kymera Therapeutics Inc")</f>
        <v>0</v>
      </c>
      <c r="C944">
        <v>-0.333219761499148</v>
      </c>
      <c r="D944">
        <v>-0.257587253414264</v>
      </c>
      <c r="E944">
        <v>-0.4507437552624191</v>
      </c>
      <c r="F944">
        <v>-0.6917624822806741</v>
      </c>
      <c r="G944">
        <v>-0.6480215827338121</v>
      </c>
      <c r="H944">
        <v>-0.469503930604499</v>
      </c>
      <c r="I944">
        <v>-0.4116055321707751</v>
      </c>
    </row>
    <row r="945" spans="1:9">
      <c r="A945" s="1" t="s">
        <v>957</v>
      </c>
      <c r="B945">
        <f>HYPERLINK("https://www.suredividend.com/sure-analysis-research-database/","Kezar Life Sciences Inc")</f>
        <v>0</v>
      </c>
      <c r="C945">
        <v>-0.218590398365679</v>
      </c>
      <c r="D945">
        <v>-0.260869565217391</v>
      </c>
      <c r="E945">
        <v>-0.5323960880195591</v>
      </c>
      <c r="F945">
        <v>-0.5424641148325351</v>
      </c>
      <c r="G945">
        <v>-0.07942238267148001</v>
      </c>
      <c r="H945">
        <v>0.443396226415094</v>
      </c>
      <c r="I945">
        <v>-0.5690140845070421</v>
      </c>
    </row>
    <row r="946" spans="1:9">
      <c r="A946" s="1" t="s">
        <v>958</v>
      </c>
      <c r="B946">
        <f>HYPERLINK("https://www.suredividend.com/sure-analysis-research-database/","Standard BioTools Inc")</f>
        <v>0</v>
      </c>
      <c r="C946">
        <v>-0.208633093525179</v>
      </c>
      <c r="D946">
        <v>-0.3714285714285711</v>
      </c>
      <c r="E946">
        <v>-0.710526315789473</v>
      </c>
      <c r="F946">
        <v>-0.71938775510204</v>
      </c>
      <c r="G946">
        <v>-0.7951582867783981</v>
      </c>
      <c r="H946">
        <v>-0.8591549295774641</v>
      </c>
      <c r="I946">
        <v>-0.759825327510917</v>
      </c>
    </row>
    <row r="947" spans="1:9">
      <c r="A947" s="1" t="s">
        <v>959</v>
      </c>
      <c r="B947">
        <f>HYPERLINK("https://www.suredividend.com/sure-analysis-research-database/","Landos Biopharma Inc")</f>
        <v>0</v>
      </c>
      <c r="C947">
        <v>-0.3942307692307691</v>
      </c>
      <c r="D947">
        <v>-0.236456187128832</v>
      </c>
      <c r="E947">
        <v>-0.529850746268656</v>
      </c>
      <c r="F947">
        <v>-0.86875</v>
      </c>
      <c r="G947">
        <v>-0.9565517241379311</v>
      </c>
      <c r="H947">
        <v>-0.9475</v>
      </c>
      <c r="I947">
        <v>-0.9475</v>
      </c>
    </row>
    <row r="948" spans="1:9">
      <c r="A948" s="1" t="s">
        <v>960</v>
      </c>
      <c r="B948">
        <f>HYPERLINK("https://www.suredividend.com/sure-analysis-LADR/","Ladder Capital Corp")</f>
        <v>0</v>
      </c>
      <c r="C948">
        <v>-0.155158708150777</v>
      </c>
      <c r="D948">
        <v>-0.128411496576583</v>
      </c>
      <c r="E948">
        <v>-0.180019019252507</v>
      </c>
      <c r="F948">
        <v>-0.190147084883926</v>
      </c>
      <c r="G948">
        <v>-0.151046794597908</v>
      </c>
      <c r="H948">
        <v>0.457991035109828</v>
      </c>
      <c r="I948">
        <v>-0.021046430675306</v>
      </c>
    </row>
    <row r="949" spans="1:9">
      <c r="A949" s="1" t="s">
        <v>961</v>
      </c>
      <c r="B949">
        <f>HYPERLINK("https://www.suredividend.com/sure-analysis-LANC/","Lancaster Colony Corp.")</f>
        <v>0</v>
      </c>
      <c r="C949">
        <v>-0.07231428902537901</v>
      </c>
      <c r="D949">
        <v>0.240112407940437</v>
      </c>
      <c r="E949">
        <v>0.040440715350107</v>
      </c>
      <c r="F949">
        <v>-0.017435155936907</v>
      </c>
      <c r="G949">
        <v>-0.056393596442939</v>
      </c>
      <c r="H949">
        <v>-0.059590590032012</v>
      </c>
      <c r="I949">
        <v>0.4333869025502821</v>
      </c>
    </row>
    <row r="950" spans="1:9">
      <c r="A950" s="1" t="s">
        <v>962</v>
      </c>
      <c r="B950">
        <f>HYPERLINK("https://www.suredividend.com/sure-analysis-LAND/","Gladstone Land Corp")</f>
        <v>0</v>
      </c>
      <c r="C950">
        <v>-0.247442850278025</v>
      </c>
      <c r="D950">
        <v>-0.246893543207014</v>
      </c>
      <c r="E950">
        <v>-0.56148903722593</v>
      </c>
      <c r="F950">
        <v>-0.473567316754005</v>
      </c>
      <c r="G950">
        <v>-0.215209016595152</v>
      </c>
      <c r="H950">
        <v>0.272231409754257</v>
      </c>
      <c r="I950">
        <v>0.5273689893589221</v>
      </c>
    </row>
    <row r="951" spans="1:9">
      <c r="A951" s="1" t="s">
        <v>963</v>
      </c>
      <c r="B951">
        <f>HYPERLINK("https://www.suredividend.com/sure-analysis-research-database/","nLIGHT Inc")</f>
        <v>0</v>
      </c>
      <c r="C951">
        <v>-0.233523189585028</v>
      </c>
      <c r="D951">
        <v>-0.116322701688555</v>
      </c>
      <c r="E951">
        <v>-0.392258064516129</v>
      </c>
      <c r="F951">
        <v>-0.606680584551148</v>
      </c>
      <c r="G951">
        <v>-0.6326053042121681</v>
      </c>
      <c r="H951">
        <v>-0.599148936170212</v>
      </c>
      <c r="I951">
        <v>-0.650463821892393</v>
      </c>
    </row>
    <row r="952" spans="1:9">
      <c r="A952" s="1" t="s">
        <v>964</v>
      </c>
      <c r="B952">
        <f>HYPERLINK("https://www.suredividend.com/sure-analysis-research-database/","Laureate Education Inc")</f>
        <v>0</v>
      </c>
      <c r="C952">
        <v>-0.040358744394618</v>
      </c>
      <c r="D952">
        <v>-0.06713164777680901</v>
      </c>
      <c r="E952">
        <v>-0.07679033649698</v>
      </c>
      <c r="F952">
        <v>-0.125816993464052</v>
      </c>
      <c r="G952">
        <v>0.005044005898762</v>
      </c>
      <c r="H952">
        <v>0.005044005898762</v>
      </c>
      <c r="I952">
        <v>0.005044005898762</v>
      </c>
    </row>
    <row r="953" spans="1:9">
      <c r="A953" s="1" t="s">
        <v>965</v>
      </c>
      <c r="B953">
        <f>HYPERLINK("https://www.suredividend.com/sure-analysis-research-database/","CS Disco Inc")</f>
        <v>0</v>
      </c>
      <c r="C953">
        <v>-0.328368794326241</v>
      </c>
      <c r="D953">
        <v>-0.6216540151817811</v>
      </c>
      <c r="E953">
        <v>-0.7050763002180001</v>
      </c>
      <c r="F953">
        <v>-0.7351048951048951</v>
      </c>
      <c r="G953">
        <v>-0.800084441629723</v>
      </c>
      <c r="H953">
        <v>-0.769024390243902</v>
      </c>
      <c r="I953">
        <v>-0.769024390243902</v>
      </c>
    </row>
    <row r="954" spans="1:9">
      <c r="A954" s="1" t="s">
        <v>966</v>
      </c>
      <c r="B954">
        <f>HYPERLINK("https://www.suredividend.com/sure-analysis-research-database/","Lazydays Holdings Inc")</f>
        <v>0</v>
      </c>
      <c r="C954">
        <v>-0.21757836508912</v>
      </c>
      <c r="D954">
        <v>0.07245155855096801</v>
      </c>
      <c r="E954">
        <v>-0.35282155566853</v>
      </c>
      <c r="F954">
        <v>-0.409006499535747</v>
      </c>
      <c r="G954">
        <v>-0.4026278742374471</v>
      </c>
      <c r="H954">
        <v>-0.07619738751814201</v>
      </c>
      <c r="I954">
        <v>0.146846846846846</v>
      </c>
    </row>
    <row r="955" spans="1:9">
      <c r="A955" s="1" t="s">
        <v>967</v>
      </c>
      <c r="B955">
        <f>HYPERLINK("https://www.suredividend.com/sure-analysis-research-database/","Lakeland Bancorp, Inc.")</f>
        <v>0</v>
      </c>
      <c r="C955">
        <v>-0.024345709068776</v>
      </c>
      <c r="D955">
        <v>0.108943494382644</v>
      </c>
      <c r="E955">
        <v>0.038420926481353</v>
      </c>
      <c r="F955">
        <v>-0.133579080502016</v>
      </c>
      <c r="G955">
        <v>-0.089943965982184</v>
      </c>
      <c r="H955">
        <v>0.619731829801853</v>
      </c>
      <c r="I955">
        <v>-0.09417628244973601</v>
      </c>
    </row>
    <row r="956" spans="1:9">
      <c r="A956" s="1" t="s">
        <v>968</v>
      </c>
      <c r="B956">
        <f>HYPERLINK("https://www.suredividend.com/sure-analysis-research-database/","Luther Burbank Corp")</f>
        <v>0</v>
      </c>
      <c r="C956">
        <v>-0.09438377535101401</v>
      </c>
      <c r="D956">
        <v>-0.07144513848344</v>
      </c>
      <c r="E956">
        <v>-0.08918316754008801</v>
      </c>
      <c r="F956">
        <v>-0.149986089350299</v>
      </c>
      <c r="G956">
        <v>-0.106751298326601</v>
      </c>
      <c r="H956">
        <v>0.362980007278618</v>
      </c>
      <c r="I956">
        <v>0.111877262540941</v>
      </c>
    </row>
    <row r="957" spans="1:9">
      <c r="A957" s="1" t="s">
        <v>969</v>
      </c>
      <c r="B957">
        <f>HYPERLINK("https://www.suredividend.com/sure-analysis-research-database/","Liberty Energy Inc")</f>
        <v>0</v>
      </c>
      <c r="C957">
        <v>-0.040693795863909</v>
      </c>
      <c r="D957">
        <v>0.181594083812654</v>
      </c>
      <c r="E957">
        <v>-0.091598231206569</v>
      </c>
      <c r="F957">
        <v>0.4824742268041241</v>
      </c>
      <c r="G957">
        <v>0.045818181818181</v>
      </c>
      <c r="H957">
        <v>0.722155688622754</v>
      </c>
      <c r="I957">
        <v>-0.317730005171587</v>
      </c>
    </row>
    <row r="958" spans="1:9">
      <c r="A958" s="1" t="s">
        <v>970</v>
      </c>
      <c r="B958">
        <f>HYPERLINK("https://www.suredividend.com/sure-analysis-research-database/","LendingClub Corp")</f>
        <v>0</v>
      </c>
      <c r="C958">
        <v>-0.180575539568345</v>
      </c>
      <c r="D958">
        <v>-0.100315955766192</v>
      </c>
      <c r="E958">
        <v>-0.201262272089761</v>
      </c>
      <c r="F958">
        <v>-0.5289495450785771</v>
      </c>
      <c r="G958">
        <v>-0.6271685761047461</v>
      </c>
      <c r="H958">
        <v>1.157196969696969</v>
      </c>
      <c r="I958">
        <v>-0.6435054773082941</v>
      </c>
    </row>
    <row r="959" spans="1:9">
      <c r="A959" s="1" t="s">
        <v>971</v>
      </c>
      <c r="B959">
        <f>HYPERLINK("https://www.suredividend.com/sure-analysis-research-database/","LCI Industries")</f>
        <v>0</v>
      </c>
      <c r="C959">
        <v>-0.179346911294394</v>
      </c>
      <c r="D959">
        <v>-0.178067873673137</v>
      </c>
      <c r="E959">
        <v>-0.019553625922153</v>
      </c>
      <c r="F959">
        <v>-0.358122407656452</v>
      </c>
      <c r="G959">
        <v>-0.26647644652936</v>
      </c>
      <c r="H959">
        <v>-0.126436863988074</v>
      </c>
      <c r="I959">
        <v>-0.064864870048727</v>
      </c>
    </row>
    <row r="960" spans="1:9">
      <c r="A960" s="1" t="s">
        <v>972</v>
      </c>
      <c r="B960">
        <f>HYPERLINK("https://www.suredividend.com/sure-analysis-research-database/","Lineage Cell Therapeutics Inc")</f>
        <v>0</v>
      </c>
      <c r="C960">
        <v>-0.09230769230769201</v>
      </c>
      <c r="D960">
        <v>-0.313953488372093</v>
      </c>
      <c r="E960">
        <v>-0.138686131386861</v>
      </c>
      <c r="F960">
        <v>-0.5183673469387751</v>
      </c>
      <c r="G960">
        <v>-0.5083333333333331</v>
      </c>
      <c r="H960">
        <v>0.063063063063062</v>
      </c>
      <c r="I960">
        <v>-0.547944680688043</v>
      </c>
    </row>
    <row r="961" spans="1:9">
      <c r="A961" s="1" t="s">
        <v>973</v>
      </c>
      <c r="B961">
        <f>HYPERLINK("https://www.suredividend.com/sure-analysis-research-database/","Lifetime Brands, Inc.")</f>
        <v>0</v>
      </c>
      <c r="C961">
        <v>-0.234393404004711</v>
      </c>
      <c r="D961">
        <v>-0.401875350823111</v>
      </c>
      <c r="E961">
        <v>-0.457129971436684</v>
      </c>
      <c r="F961">
        <v>-0.588935405942096</v>
      </c>
      <c r="G961">
        <v>-0.630061751230756</v>
      </c>
      <c r="H961">
        <v>-0.331839394749285</v>
      </c>
      <c r="I961">
        <v>-0.633924498335764</v>
      </c>
    </row>
    <row r="962" spans="1:9">
      <c r="A962" s="1" t="s">
        <v>974</v>
      </c>
      <c r="B962">
        <f>HYPERLINK("https://www.suredividend.com/sure-analysis-research-database/","Lands` End, Inc.")</f>
        <v>0</v>
      </c>
      <c r="C962">
        <v>-0.124761904761904</v>
      </c>
      <c r="D962">
        <v>-0.183111111111111</v>
      </c>
      <c r="E962">
        <v>-0.421648835745752</v>
      </c>
      <c r="F962">
        <v>-0.531839021905247</v>
      </c>
      <c r="G962">
        <v>-0.595866314863676</v>
      </c>
      <c r="H962">
        <v>-0.331149927219796</v>
      </c>
      <c r="I962">
        <v>-0.267729083665338</v>
      </c>
    </row>
    <row r="963" spans="1:9">
      <c r="A963" s="1" t="s">
        <v>975</v>
      </c>
      <c r="B963">
        <f>HYPERLINK("https://www.suredividend.com/sure-analysis-research-database/","Legacy Housing Corp")</f>
        <v>0</v>
      </c>
      <c r="C963">
        <v>0.003567181926278</v>
      </c>
      <c r="D963">
        <v>0.273962264150943</v>
      </c>
      <c r="E963">
        <v>-0.11344537815126</v>
      </c>
      <c r="F963">
        <v>-0.362296939931998</v>
      </c>
      <c r="G963">
        <v>-0.027649769585253</v>
      </c>
      <c r="H963">
        <v>0.096816114359973</v>
      </c>
      <c r="I963">
        <v>0.40315876974231</v>
      </c>
    </row>
    <row r="964" spans="1:9">
      <c r="A964" s="1" t="s">
        <v>976</v>
      </c>
      <c r="B964">
        <f>HYPERLINK("https://www.suredividend.com/sure-analysis-research-database/","Centrus Energy Corp")</f>
        <v>0</v>
      </c>
      <c r="C964">
        <v>-0.326130745284746</v>
      </c>
      <c r="D964">
        <v>0.330922242314647</v>
      </c>
      <c r="E964">
        <v>0.198306740475415</v>
      </c>
      <c r="F964">
        <v>-0.262672811059907</v>
      </c>
      <c r="G964">
        <v>-0.053254437869822</v>
      </c>
      <c r="H964">
        <v>2.739837398373984</v>
      </c>
      <c r="I964">
        <v>9.082468012822268</v>
      </c>
    </row>
    <row r="965" spans="1:9">
      <c r="A965" s="1" t="s">
        <v>977</v>
      </c>
      <c r="B965">
        <f>HYPERLINK("https://www.suredividend.com/sure-analysis-research-database/","LifeStance Health Group Inc")</f>
        <v>0</v>
      </c>
      <c r="C965">
        <v>-0.172264355362946</v>
      </c>
      <c r="D965">
        <v>0.266998341625207</v>
      </c>
      <c r="E965">
        <v>-0.2321608040201</v>
      </c>
      <c r="F965">
        <v>-0.197478991596638</v>
      </c>
      <c r="G965">
        <v>-0.407292474786656</v>
      </c>
      <c r="H965">
        <v>-0.651141552511415</v>
      </c>
      <c r="I965">
        <v>-0.651141552511415</v>
      </c>
    </row>
    <row r="966" spans="1:9">
      <c r="A966" s="1" t="s">
        <v>978</v>
      </c>
      <c r="B966">
        <f>HYPERLINK("https://www.suredividend.com/sure-analysis-research-database/","Lions Gate Entertainment Corp.")</f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>
      <c r="A967" s="1" t="s">
        <v>979</v>
      </c>
      <c r="B967">
        <f>HYPERLINK("https://www.suredividend.com/sure-analysis-research-database/","Lions Gate Entertainment Corp.")</f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>
      <c r="A968" s="1" t="s">
        <v>980</v>
      </c>
      <c r="B968">
        <f>HYPERLINK("https://www.suredividend.com/sure-analysis-research-database/","LGI Homes Inc")</f>
        <v>0</v>
      </c>
      <c r="C968">
        <v>-0.07613408057523501</v>
      </c>
      <c r="D968">
        <v>-0.107741013071895</v>
      </c>
      <c r="E968">
        <v>-0.032233052724855</v>
      </c>
      <c r="F968">
        <v>-0.434425168306576</v>
      </c>
      <c r="G968">
        <v>-0.375125160921184</v>
      </c>
      <c r="H968">
        <v>-0.308015206716299</v>
      </c>
      <c r="I968">
        <v>0.6475579860456341</v>
      </c>
    </row>
    <row r="969" spans="1:9">
      <c r="A969" s="1" t="s">
        <v>981</v>
      </c>
      <c r="B969">
        <f>HYPERLINK("https://www.suredividend.com/sure-analysis-research-database/","Ligand Pharmaceuticals, Inc.")</f>
        <v>0</v>
      </c>
      <c r="C969">
        <v>-0.037877211238293</v>
      </c>
      <c r="D969">
        <v>-0.026736842105263</v>
      </c>
      <c r="E969">
        <v>-0.143730320429709</v>
      </c>
      <c r="F969">
        <v>-0.4013984203029911</v>
      </c>
      <c r="G969">
        <v>-0.276299311208516</v>
      </c>
      <c r="H969">
        <v>-0.09005019191024501</v>
      </c>
      <c r="I969">
        <v>-0.354374694504573</v>
      </c>
    </row>
    <row r="970" spans="1:9">
      <c r="A970" s="1" t="s">
        <v>982</v>
      </c>
      <c r="B970">
        <f>HYPERLINK("https://www.suredividend.com/sure-analysis-research-database/","LHC Group Inc")</f>
        <v>0</v>
      </c>
      <c r="C970">
        <v>0.0075197163294</v>
      </c>
      <c r="D970">
        <v>0.036934499465173</v>
      </c>
      <c r="E970">
        <v>-0.016354303449922</v>
      </c>
      <c r="F970">
        <v>0.200903592508926</v>
      </c>
      <c r="G970">
        <v>0.140563360786213</v>
      </c>
      <c r="H970">
        <v>-0.26969777541434</v>
      </c>
      <c r="I970">
        <v>1.456768038163387</v>
      </c>
    </row>
    <row r="971" spans="1:9">
      <c r="A971" s="1" t="s">
        <v>983</v>
      </c>
      <c r="B971">
        <f>HYPERLINK("https://www.suredividend.com/sure-analysis-research-database/","Liberty Latin America Ltd")</f>
        <v>0</v>
      </c>
      <c r="C971">
        <v>0.077474892395982</v>
      </c>
      <c r="D971">
        <v>0.012129380053908</v>
      </c>
      <c r="E971">
        <v>-0.301395348837209</v>
      </c>
      <c r="F971">
        <v>-0.3559176672384221</v>
      </c>
      <c r="G971">
        <v>-0.402070063694267</v>
      </c>
      <c r="H971">
        <v>-0.320361990950226</v>
      </c>
      <c r="I971">
        <v>-0.755131319388969</v>
      </c>
    </row>
    <row r="972" spans="1:9">
      <c r="A972" s="1" t="s">
        <v>984</v>
      </c>
      <c r="B972">
        <f>HYPERLINK("https://www.suredividend.com/sure-analysis-research-database/","Liberty Latin America Ltd")</f>
        <v>0</v>
      </c>
      <c r="C972">
        <v>0.082014388489208</v>
      </c>
      <c r="D972">
        <v>0.017591339648173</v>
      </c>
      <c r="E972">
        <v>-0.299161230195713</v>
      </c>
      <c r="F972">
        <v>-0.340350877192982</v>
      </c>
      <c r="G972">
        <v>-0.402225755166931</v>
      </c>
      <c r="H972">
        <v>-0.312614259597806</v>
      </c>
      <c r="I972">
        <v>-0.774104302532014</v>
      </c>
    </row>
    <row r="973" spans="1:9">
      <c r="A973" s="1" t="s">
        <v>985</v>
      </c>
      <c r="B973">
        <f>HYPERLINK("https://www.suredividend.com/sure-analysis-research-database/","Lindblad Expeditions Holdings Inc")</f>
        <v>0</v>
      </c>
      <c r="C973">
        <v>-0.335015136226034</v>
      </c>
      <c r="D973">
        <v>-0.203143893591293</v>
      </c>
      <c r="E973">
        <v>-0.558014755197853</v>
      </c>
      <c r="F973">
        <v>-0.5775641025641021</v>
      </c>
      <c r="G973">
        <v>-0.566447368421052</v>
      </c>
      <c r="H973">
        <v>-0.251986379114642</v>
      </c>
      <c r="I973">
        <v>-0.386405959031657</v>
      </c>
    </row>
    <row r="974" spans="1:9">
      <c r="A974" s="1" t="s">
        <v>986</v>
      </c>
      <c r="B974">
        <f>HYPERLINK("https://www.suredividend.com/sure-analysis-research-database/","LivaNova PLC")</f>
        <v>0</v>
      </c>
      <c r="C974">
        <v>-0.152286902286902</v>
      </c>
      <c r="D974">
        <v>-0.202444987775061</v>
      </c>
      <c r="E974">
        <v>-0.413309352517985</v>
      </c>
      <c r="F974">
        <v>-0.44035228182546</v>
      </c>
      <c r="G974">
        <v>-0.382586750788643</v>
      </c>
      <c r="H974">
        <v>-0.022572912504994</v>
      </c>
      <c r="I974">
        <v>-0.350112896799043</v>
      </c>
    </row>
    <row r="975" spans="1:9">
      <c r="A975" s="1" t="s">
        <v>987</v>
      </c>
      <c r="B975">
        <f>HYPERLINK("https://www.suredividend.com/sure-analysis-research-database/","Lakeland Financial Corp.")</f>
        <v>0</v>
      </c>
      <c r="C975">
        <v>-0.026759820722383</v>
      </c>
      <c r="D975">
        <v>0.104186576572938</v>
      </c>
      <c r="E975">
        <v>0.024843039243312</v>
      </c>
      <c r="F975">
        <v>-0.06396196513470601</v>
      </c>
      <c r="G975">
        <v>0.004340852853114001</v>
      </c>
      <c r="H975">
        <v>0.621910176536234</v>
      </c>
      <c r="I975">
        <v>0.684259033244896</v>
      </c>
    </row>
    <row r="976" spans="1:9">
      <c r="A976" s="1" t="s">
        <v>988</v>
      </c>
      <c r="B976">
        <f>HYPERLINK("https://www.suredividend.com/sure-analysis-research-database/","LL Flooring Holdings Inc")</f>
        <v>0</v>
      </c>
      <c r="C976">
        <v>-0.026683608640406</v>
      </c>
      <c r="D976">
        <v>-0.228600201409869</v>
      </c>
      <c r="E976">
        <v>-0.448524118070554</v>
      </c>
      <c r="F976">
        <v>-0.551259519625073</v>
      </c>
      <c r="G976">
        <v>-0.57935200439319</v>
      </c>
      <c r="H976">
        <v>-0.7158753709198811</v>
      </c>
      <c r="I976">
        <v>-0.7762196903301191</v>
      </c>
    </row>
    <row r="977" spans="1:9">
      <c r="A977" s="1" t="s">
        <v>989</v>
      </c>
      <c r="B977">
        <f>HYPERLINK("https://www.suredividend.com/sure-analysis-research-database/","Limelight Networks Inc")</f>
        <v>0</v>
      </c>
      <c r="C977">
        <v>-0.276470588235294</v>
      </c>
      <c r="D977">
        <v>-0.439635535307517</v>
      </c>
      <c r="E977">
        <v>-0.259036144578313</v>
      </c>
      <c r="F977">
        <v>-0.282798833819242</v>
      </c>
      <c r="G977">
        <v>-0.259036144578313</v>
      </c>
      <c r="H977">
        <v>-0.522330097087378</v>
      </c>
      <c r="I977">
        <v>-0.136842105263158</v>
      </c>
    </row>
    <row r="978" spans="1:9">
      <c r="A978" s="1" t="s">
        <v>990</v>
      </c>
      <c r="B978">
        <f>HYPERLINK("https://www.suredividend.com/sure-analysis-research-database/","Lemaitre Vascular Inc")</f>
        <v>0</v>
      </c>
      <c r="C978">
        <v>-0.06147859922178901</v>
      </c>
      <c r="D978">
        <v>0.041765645920615</v>
      </c>
      <c r="E978">
        <v>0.04252886728719901</v>
      </c>
      <c r="F978">
        <v>-0.031976481684007</v>
      </c>
      <c r="G978">
        <v>-0.08910150740105001</v>
      </c>
      <c r="H978">
        <v>0.47031033789097</v>
      </c>
      <c r="I978">
        <v>0.355996997917094</v>
      </c>
    </row>
    <row r="979" spans="1:9">
      <c r="A979" s="1" t="s">
        <v>991</v>
      </c>
      <c r="B979">
        <f>HYPERLINK("https://www.suredividend.com/sure-analysis-research-database/","Limoneira Co")</f>
        <v>0</v>
      </c>
      <c r="C979">
        <v>-0.073272454886963</v>
      </c>
      <c r="D979">
        <v>-0.087614233514426</v>
      </c>
      <c r="E979">
        <v>-0.068130204390613</v>
      </c>
      <c r="F979">
        <v>-0.165599094427611</v>
      </c>
      <c r="G979">
        <v>-0.19685265410512</v>
      </c>
      <c r="H979">
        <v>-0.145417815018709</v>
      </c>
      <c r="I979">
        <v>-0.410708729265899</v>
      </c>
    </row>
    <row r="980" spans="1:9">
      <c r="A980" s="1" t="s">
        <v>992</v>
      </c>
      <c r="B980">
        <f>HYPERLINK("https://www.suredividend.com/sure-analysis-research-database/","Landec Corp.")</f>
        <v>0</v>
      </c>
      <c r="C980">
        <v>-0.206896551724137</v>
      </c>
      <c r="D980">
        <v>-0.20375865479723</v>
      </c>
      <c r="E980">
        <v>-0.233333333333333</v>
      </c>
      <c r="F980">
        <v>-0.274774774774774</v>
      </c>
      <c r="G980">
        <v>-0.156184486373165</v>
      </c>
      <c r="H980">
        <v>-0.199801192842942</v>
      </c>
      <c r="I980">
        <v>-0.3947368421052631</v>
      </c>
    </row>
    <row r="981" spans="1:9">
      <c r="A981" s="1" t="s">
        <v>993</v>
      </c>
      <c r="B981">
        <f>HYPERLINK("https://www.suredividend.com/sure-analysis-LNN/","Lindsay Corporation")</f>
        <v>0</v>
      </c>
      <c r="C981">
        <v>-0.046145223564578</v>
      </c>
      <c r="D981">
        <v>0.137569654510656</v>
      </c>
      <c r="E981">
        <v>0.05927133860859701</v>
      </c>
      <c r="F981">
        <v>0.014994645716042</v>
      </c>
      <c r="G981">
        <v>-0.038247207576479</v>
      </c>
      <c r="H981">
        <v>0.4650896969291171</v>
      </c>
      <c r="I981">
        <v>0.7656728392784681</v>
      </c>
    </row>
    <row r="982" spans="1:9">
      <c r="A982" s="1" t="s">
        <v>994</v>
      </c>
      <c r="B982">
        <f>HYPERLINK("https://www.suredividend.com/sure-analysis-research-database/","Lantheus Holdings Inc")</f>
        <v>0</v>
      </c>
      <c r="C982">
        <v>-0.221281599059376</v>
      </c>
      <c r="D982">
        <v>-0.02301224369376</v>
      </c>
      <c r="E982">
        <v>0.100348895165309</v>
      </c>
      <c r="F982">
        <v>1.292488750432675</v>
      </c>
      <c r="G982">
        <v>1.790981879477454</v>
      </c>
      <c r="H982">
        <v>3.935171385991058</v>
      </c>
      <c r="I982">
        <v>2.599456521739131</v>
      </c>
    </row>
    <row r="983" spans="1:9">
      <c r="A983" s="1" t="s">
        <v>995</v>
      </c>
      <c r="B983">
        <f>HYPERLINK("https://www.suredividend.com/sure-analysis-research-database/","Live Oak Bancshares Inc")</f>
        <v>0</v>
      </c>
      <c r="C983">
        <v>-0.06711597865768</v>
      </c>
      <c r="D983">
        <v>0.007854713586621001</v>
      </c>
      <c r="E983">
        <v>-0.29338693552847</v>
      </c>
      <c r="F983">
        <v>-0.6186268961028071</v>
      </c>
      <c r="G983">
        <v>-0.500740923313685</v>
      </c>
      <c r="H983">
        <v>0.08539035825723201</v>
      </c>
      <c r="I983">
        <v>0.393228456754138</v>
      </c>
    </row>
    <row r="984" spans="1:9">
      <c r="A984" s="1" t="s">
        <v>996</v>
      </c>
      <c r="B984">
        <f>HYPERLINK("https://www.suredividend.com/sure-analysis-research-database/","El Pollo Loco Holdings Inc")</f>
        <v>0</v>
      </c>
      <c r="C984">
        <v>0.005470459518599</v>
      </c>
      <c r="D984">
        <v>-0.05936540429887401</v>
      </c>
      <c r="E984">
        <v>-0.186725663716814</v>
      </c>
      <c r="F984">
        <v>-0.352360817477096</v>
      </c>
      <c r="G984">
        <v>-0.445717732207478</v>
      </c>
      <c r="H984">
        <v>-0.485730274202574</v>
      </c>
      <c r="I984">
        <v>-0.252845528455284</v>
      </c>
    </row>
    <row r="985" spans="1:9">
      <c r="A985" s="1" t="s">
        <v>997</v>
      </c>
      <c r="B985">
        <f>HYPERLINK("https://www.suredividend.com/sure-analysis-research-database/","CarLotz Inc")</f>
        <v>0</v>
      </c>
      <c r="C985">
        <v>-0.326730190571715</v>
      </c>
      <c r="D985">
        <v>-0.37688558830355</v>
      </c>
      <c r="E985">
        <v>-0.76853448275862</v>
      </c>
      <c r="F985">
        <v>-0.881718061674008</v>
      </c>
      <c r="G985">
        <v>-0.9254166666666661</v>
      </c>
      <c r="H985">
        <v>-0.973676470588235</v>
      </c>
      <c r="I985">
        <v>-0.972461538461538</v>
      </c>
    </row>
    <row r="986" spans="1:9">
      <c r="A986" s="1" t="s">
        <v>998</v>
      </c>
      <c r="B986">
        <f>HYPERLINK("https://www.suredividend.com/sure-analysis-research-database/","Lovesac Company")</f>
        <v>0</v>
      </c>
      <c r="C986">
        <v>-0.294407316215265</v>
      </c>
      <c r="D986">
        <v>-0.386544342507645</v>
      </c>
      <c r="E986">
        <v>-0.575449735449735</v>
      </c>
      <c r="F986">
        <v>-0.697253244793238</v>
      </c>
      <c r="G986">
        <v>-0.7207295002088261</v>
      </c>
      <c r="H986">
        <v>-0.41</v>
      </c>
      <c r="I986">
        <v>-0.163818257607336</v>
      </c>
    </row>
    <row r="987" spans="1:9">
      <c r="A987" s="1" t="s">
        <v>999</v>
      </c>
      <c r="B987">
        <f>HYPERLINK("https://www.suredividend.com/sure-analysis-research-database/","Dorian LPG Ltd")</f>
        <v>0</v>
      </c>
      <c r="C987">
        <v>-0.017217630853994</v>
      </c>
      <c r="D987">
        <v>0.036182896810125</v>
      </c>
      <c r="E987">
        <v>0.149767951527652</v>
      </c>
      <c r="F987">
        <v>0.497282437621975</v>
      </c>
      <c r="G987">
        <v>0.497282437621975</v>
      </c>
      <c r="H987">
        <v>1.345612045301379</v>
      </c>
      <c r="I987">
        <v>1.80640339836375</v>
      </c>
    </row>
    <row r="988" spans="1:9">
      <c r="A988" s="1" t="s">
        <v>1000</v>
      </c>
      <c r="B988">
        <f>HYPERLINK("https://www.suredividend.com/sure-analysis-research-database/","Laredo Petroleum Inc.")</f>
        <v>0</v>
      </c>
      <c r="C988">
        <v>-0.0008071025020170001</v>
      </c>
      <c r="D988">
        <v>0.09573683434134801</v>
      </c>
      <c r="E988">
        <v>-0.106674684305472</v>
      </c>
      <c r="F988">
        <v>0.235323465824047</v>
      </c>
      <c r="G988">
        <v>-0.178500331785003</v>
      </c>
      <c r="H988">
        <v>6.827186512118019</v>
      </c>
      <c r="I988">
        <v>-0.706866614048934</v>
      </c>
    </row>
    <row r="989" spans="1:9">
      <c r="A989" s="1" t="s">
        <v>1001</v>
      </c>
      <c r="B989">
        <f>HYPERLINK("https://www.suredividend.com/sure-analysis-research-database/","Open Lending Corp")</f>
        <v>0</v>
      </c>
      <c r="C989">
        <v>-0.30334928229665</v>
      </c>
      <c r="D989">
        <v>-0.248710010319917</v>
      </c>
      <c r="E989">
        <v>-0.556368068251066</v>
      </c>
      <c r="F989">
        <v>-0.6761565836298931</v>
      </c>
      <c r="G989">
        <v>-0.782751417487317</v>
      </c>
      <c r="H989">
        <v>-0.7272386661671031</v>
      </c>
      <c r="I989">
        <v>-0.505770536320434</v>
      </c>
    </row>
    <row r="990" spans="1:9">
      <c r="A990" s="1" t="s">
        <v>1002</v>
      </c>
      <c r="B990">
        <f>HYPERLINK("https://www.suredividend.com/sure-analysis-research-database/","Liveperson Inc")</f>
        <v>0</v>
      </c>
      <c r="C990">
        <v>-0.261575954508529</v>
      </c>
      <c r="D990">
        <v>-0.4300940438871471</v>
      </c>
      <c r="E990">
        <v>-0.6438087774294671</v>
      </c>
      <c r="F990">
        <v>-0.74552071668533</v>
      </c>
      <c r="G990">
        <v>-0.846814964610717</v>
      </c>
      <c r="H990">
        <v>-0.841858037578288</v>
      </c>
      <c r="I990">
        <v>-0.38993288590604</v>
      </c>
    </row>
    <row r="991" spans="1:9">
      <c r="A991" s="1" t="s">
        <v>1003</v>
      </c>
      <c r="B991">
        <f>HYPERLINK("https://www.suredividend.com/sure-analysis-research-database/","Liquidity Services Inc")</f>
        <v>0</v>
      </c>
      <c r="C991">
        <v>0.09683544303797401</v>
      </c>
      <c r="D991">
        <v>0.09753008233058801</v>
      </c>
      <c r="E991">
        <v>-0.015340909090909</v>
      </c>
      <c r="F991">
        <v>-0.215126811594202</v>
      </c>
      <c r="G991">
        <v>-0.168824940047961</v>
      </c>
      <c r="H991">
        <v>0.575454545454545</v>
      </c>
      <c r="I991">
        <v>1.840983606557376</v>
      </c>
    </row>
    <row r="992" spans="1:9">
      <c r="A992" s="1" t="s">
        <v>1004</v>
      </c>
      <c r="B992">
        <f>HYPERLINK("https://www.suredividend.com/sure-analysis-research-database/","Stride Inc")</f>
        <v>0</v>
      </c>
      <c r="C992">
        <v>0.129558786023973</v>
      </c>
      <c r="D992">
        <v>0.062619961612284</v>
      </c>
      <c r="E992">
        <v>0.285258270458502</v>
      </c>
      <c r="F992">
        <v>0.328832883288328</v>
      </c>
      <c r="G992">
        <v>0.198646820027063</v>
      </c>
      <c r="H992">
        <v>0.454993429697766</v>
      </c>
      <c r="I992">
        <v>1.546866014951121</v>
      </c>
    </row>
    <row r="993" spans="1:9">
      <c r="A993" s="1" t="s">
        <v>1005</v>
      </c>
      <c r="B993">
        <f>HYPERLINK("https://www.suredividend.com/sure-analysis-research-database/","Lattice Semiconductor Corp.")</f>
        <v>0</v>
      </c>
      <c r="C993">
        <v>-0.108357452966714</v>
      </c>
      <c r="D993">
        <v>0.005713119771475</v>
      </c>
      <c r="E993">
        <v>-0.03125</v>
      </c>
      <c r="F993">
        <v>-0.360368543991694</v>
      </c>
      <c r="G993">
        <v>-0.239234449760765</v>
      </c>
      <c r="H993">
        <v>0.4968114181597321</v>
      </c>
      <c r="I993">
        <v>7.913200723327305</v>
      </c>
    </row>
    <row r="994" spans="1:9">
      <c r="A994" s="1" t="s">
        <v>1006</v>
      </c>
      <c r="B994">
        <f>HYPERLINK("https://www.suredividend.com/sure-analysis-research-database/","Landsea Homes Corporation")</f>
        <v>0</v>
      </c>
      <c r="C994">
        <v>-0.21963394342762</v>
      </c>
      <c r="D994">
        <v>-0.3290414878397711</v>
      </c>
      <c r="E994">
        <v>-0.40632911392405</v>
      </c>
      <c r="F994">
        <v>-0.359289617486338</v>
      </c>
      <c r="G994">
        <v>-0.463386727688787</v>
      </c>
      <c r="H994">
        <v>-0.5564130938531521</v>
      </c>
      <c r="I994">
        <v>-0.512980269989615</v>
      </c>
    </row>
    <row r="995" spans="1:9">
      <c r="A995" s="1" t="s">
        <v>1007</v>
      </c>
      <c r="B995">
        <f>HYPERLINK("https://www.suredividend.com/sure-analysis-research-database/","Laird Superfood Inc")</f>
        <v>0</v>
      </c>
      <c r="C995">
        <v>-0.224489795918367</v>
      </c>
      <c r="D995">
        <v>-0.045226130653266</v>
      </c>
      <c r="E995">
        <v>-0.417177914110429</v>
      </c>
      <c r="F995">
        <v>-0.8542944785276071</v>
      </c>
      <c r="G995">
        <v>-0.8911174785100281</v>
      </c>
      <c r="H995">
        <v>-0.9568181818181811</v>
      </c>
      <c r="I995">
        <v>-0.9534313725490191</v>
      </c>
    </row>
    <row r="996" spans="1:9">
      <c r="A996" s="1" t="s">
        <v>1008</v>
      </c>
      <c r="B996">
        <f>HYPERLINK("https://www.suredividend.com/sure-analysis-LTC/","LTC Properties, Inc.")</f>
        <v>0</v>
      </c>
      <c r="C996">
        <v>-0.176788613829951</v>
      </c>
      <c r="D996">
        <v>-0.040692604083531</v>
      </c>
      <c r="E996">
        <v>0.001415223166623</v>
      </c>
      <c r="F996">
        <v>0.106690446791969</v>
      </c>
      <c r="G996">
        <v>0.189419085097529</v>
      </c>
      <c r="H996">
        <v>0.14282476057349</v>
      </c>
      <c r="I996">
        <v>0.01234333777686</v>
      </c>
    </row>
    <row r="997" spans="1:9">
      <c r="A997" s="1" t="s">
        <v>1009</v>
      </c>
      <c r="B997">
        <f>HYPERLINK("https://www.suredividend.com/sure-analysis-research-database/","Life Time Group Holdings Inc")</f>
        <v>0</v>
      </c>
      <c r="C997">
        <v>-0.249624060150376</v>
      </c>
      <c r="D997">
        <v>-0.255223880597014</v>
      </c>
      <c r="E997">
        <v>-0.292700212615166</v>
      </c>
      <c r="F997">
        <v>-0.420104590354445</v>
      </c>
      <c r="G997">
        <v>-0.4197674418604651</v>
      </c>
      <c r="H997">
        <v>-0.437746478873239</v>
      </c>
      <c r="I997">
        <v>-0.437746478873239</v>
      </c>
    </row>
    <row r="998" spans="1:9">
      <c r="A998" s="1" t="s">
        <v>1010</v>
      </c>
      <c r="B998">
        <f>HYPERLINK("https://www.suredividend.com/sure-analysis-research-database/","Livent Corp")</f>
        <v>0</v>
      </c>
      <c r="C998">
        <v>-0.130914368650217</v>
      </c>
      <c r="D998">
        <v>0.345617977528089</v>
      </c>
      <c r="E998">
        <v>0.195686900958466</v>
      </c>
      <c r="F998">
        <v>0.22805578342904</v>
      </c>
      <c r="G998">
        <v>0.296665223040277</v>
      </c>
      <c r="H998">
        <v>1.619422572178478</v>
      </c>
      <c r="I998">
        <v>0.7642899233942251</v>
      </c>
    </row>
    <row r="999" spans="1:9">
      <c r="A999" s="1" t="s">
        <v>1011</v>
      </c>
      <c r="B999">
        <f>HYPERLINK("https://www.suredividend.com/sure-analysis-research-database/","Liberty TripAdvisor Holdings Inc")</f>
        <v>0</v>
      </c>
      <c r="C999">
        <v>-0.219858156028368</v>
      </c>
      <c r="D999">
        <v>0.442433779176501</v>
      </c>
      <c r="E999">
        <v>-0.341317365269461</v>
      </c>
      <c r="F999">
        <v>-0.4930875576036861</v>
      </c>
      <c r="G999">
        <v>-0.6783625730994151</v>
      </c>
      <c r="H999">
        <v>-0.402173913043478</v>
      </c>
      <c r="I999">
        <v>-0.9126984126984121</v>
      </c>
    </row>
    <row r="1000" spans="1:9">
      <c r="A1000" s="1" t="s">
        <v>1012</v>
      </c>
      <c r="B1000">
        <f>HYPERLINK("https://www.suredividend.com/sure-analysis-research-database/","Luna Innovations Inc")</f>
        <v>0</v>
      </c>
      <c r="C1000">
        <v>-0.178181818181818</v>
      </c>
      <c r="D1000">
        <v>-0.228668941979522</v>
      </c>
      <c r="E1000">
        <v>-0.342066957787481</v>
      </c>
      <c r="F1000">
        <v>-0.4644549763033171</v>
      </c>
      <c r="G1000">
        <v>-0.492134831460674</v>
      </c>
      <c r="H1000">
        <v>-0.308868501529052</v>
      </c>
      <c r="I1000">
        <v>1.674556213017751</v>
      </c>
    </row>
    <row r="1001" spans="1:9">
      <c r="A1001" s="1" t="s">
        <v>1013</v>
      </c>
      <c r="B1001">
        <f>HYPERLINK("https://www.suredividend.com/sure-analysis-research-database/","Pulmonx Corp")</f>
        <v>0</v>
      </c>
      <c r="C1001">
        <v>-0.273218673218673</v>
      </c>
      <c r="D1001">
        <v>-0.145086705202312</v>
      </c>
      <c r="E1001">
        <v>-0.4298380878951421</v>
      </c>
      <c r="F1001">
        <v>-0.538821328344247</v>
      </c>
      <c r="G1001">
        <v>-0.613029827315541</v>
      </c>
      <c r="H1001">
        <v>-0.649940828402366</v>
      </c>
      <c r="I1001">
        <v>-0.62375985754261</v>
      </c>
    </row>
    <row r="1002" spans="1:9">
      <c r="A1002" s="1" t="s">
        <v>1014</v>
      </c>
      <c r="B1002">
        <f>HYPERLINK("https://www.suredividend.com/sure-analysis-research-database/","Lulus Fashion Lounge Holdings Inc")</f>
        <v>0</v>
      </c>
      <c r="C1002">
        <v>-0.183925811437403</v>
      </c>
      <c r="D1002">
        <v>-0.563636363636363</v>
      </c>
      <c r="E1002">
        <v>-0.376623376623376</v>
      </c>
      <c r="F1002">
        <v>-0.4838709677419351</v>
      </c>
      <c r="G1002">
        <v>-0.595712098009188</v>
      </c>
      <c r="H1002">
        <v>-0.595712098009188</v>
      </c>
      <c r="I1002">
        <v>-0.595712098009188</v>
      </c>
    </row>
    <row r="1003" spans="1:9">
      <c r="A1003" s="1" t="s">
        <v>1015</v>
      </c>
      <c r="B1003">
        <f>HYPERLINK("https://www.suredividend.com/sure-analysis-research-database/","LiveOne Inc")</f>
        <v>0</v>
      </c>
      <c r="C1003">
        <v>-0.268679245283018</v>
      </c>
      <c r="D1003">
        <v>-0.313982300884955</v>
      </c>
      <c r="E1003">
        <v>-0.148131868131868</v>
      </c>
      <c r="F1003">
        <v>-0.394375</v>
      </c>
      <c r="G1003">
        <v>-0.7211510791366901</v>
      </c>
      <c r="H1003">
        <v>-0.665862068965517</v>
      </c>
      <c r="I1003">
        <v>-0.913866666666666</v>
      </c>
    </row>
    <row r="1004" spans="1:9">
      <c r="A1004" s="1" t="s">
        <v>1016</v>
      </c>
      <c r="B1004">
        <f>HYPERLINK("https://www.suredividend.com/sure-analysis-research-database/","Luxfer Holdings PLC")</f>
        <v>0</v>
      </c>
      <c r="C1004">
        <v>-0.07386716325263801</v>
      </c>
      <c r="D1004">
        <v>-0.04073038222908</v>
      </c>
      <c r="E1004">
        <v>-0.08788575341125801</v>
      </c>
      <c r="F1004">
        <v>-0.209167717929418</v>
      </c>
      <c r="G1004">
        <v>-0.235671400176225</v>
      </c>
      <c r="H1004">
        <v>0.151350058262017</v>
      </c>
      <c r="I1004">
        <v>0.659141961168071</v>
      </c>
    </row>
    <row r="1005" spans="1:9">
      <c r="A1005" s="1" t="s">
        <v>1017</v>
      </c>
      <c r="B1005">
        <f>HYPERLINK("https://www.suredividend.com/sure-analysis-LXP/","LXP Industrial Trust")</f>
        <v>0</v>
      </c>
      <c r="C1005">
        <v>-0.129557209537025</v>
      </c>
      <c r="D1005">
        <v>-0.137823316256403</v>
      </c>
      <c r="E1005">
        <v>-0.315282856117798</v>
      </c>
      <c r="F1005">
        <v>-0.4072869999603531</v>
      </c>
      <c r="G1005">
        <v>-0.335038363171355</v>
      </c>
      <c r="H1005">
        <v>-0.116003587231819</v>
      </c>
      <c r="I1005">
        <v>0.09941291105418601</v>
      </c>
    </row>
    <row r="1006" spans="1:9">
      <c r="A1006" s="1" t="s">
        <v>1018</v>
      </c>
      <c r="B1006">
        <f>HYPERLINK("https://www.suredividend.com/sure-analysis-research-database/","Lexicon Pharmaceuticals Inc")</f>
        <v>0</v>
      </c>
      <c r="C1006">
        <v>-0.258620689655172</v>
      </c>
      <c r="D1006">
        <v>-0.250871080139372</v>
      </c>
      <c r="E1006">
        <v>-0.156862745098039</v>
      </c>
      <c r="F1006">
        <v>-0.454314720812182</v>
      </c>
      <c r="G1006">
        <v>-0.614003590664272</v>
      </c>
      <c r="H1006">
        <v>0.378205128205128</v>
      </c>
      <c r="I1006">
        <v>-0.8122270742358071</v>
      </c>
    </row>
    <row r="1007" spans="1:9">
      <c r="A1007" s="1" t="s">
        <v>1019</v>
      </c>
      <c r="B1007">
        <f>HYPERLINK("https://www.suredividend.com/sure-analysis-research-database/","Lyell Immunopharma Inc")</f>
        <v>0</v>
      </c>
      <c r="C1007">
        <v>-0.08959156785243701</v>
      </c>
      <c r="D1007">
        <v>0.028273809523809</v>
      </c>
      <c r="E1007">
        <v>0.26788990825688</v>
      </c>
      <c r="F1007">
        <v>-0.107235142118863</v>
      </c>
      <c r="G1007">
        <v>-0.465996908809891</v>
      </c>
      <c r="H1007">
        <v>-0.590882178804026</v>
      </c>
      <c r="I1007">
        <v>-0.590882178804026</v>
      </c>
    </row>
    <row r="1008" spans="1:9">
      <c r="A1008" s="1" t="s">
        <v>1020</v>
      </c>
      <c r="B1008">
        <f>HYPERLINK("https://www.suredividend.com/sure-analysis-research-database/","La-Z-Boy Inc.")</f>
        <v>0</v>
      </c>
      <c r="C1008">
        <v>-0.146433990895295</v>
      </c>
      <c r="D1008">
        <v>-0.115566037735849</v>
      </c>
      <c r="E1008">
        <v>-0.149274047186932</v>
      </c>
      <c r="F1008">
        <v>-0.372776842363488</v>
      </c>
      <c r="G1008">
        <v>-0.318619553498964</v>
      </c>
      <c r="H1008">
        <v>-0.320459309103429</v>
      </c>
      <c r="I1008">
        <v>-0.108413014792418</v>
      </c>
    </row>
    <row r="1009" spans="1:9">
      <c r="A1009" s="1" t="s">
        <v>1021</v>
      </c>
      <c r="B1009">
        <f>HYPERLINK("https://www.suredividend.com/sure-analysis-M/","Macy`s Inc")</f>
        <v>0</v>
      </c>
      <c r="C1009">
        <v>-0.048363317925354</v>
      </c>
      <c r="D1009">
        <v>-0.032959358385148</v>
      </c>
      <c r="E1009">
        <v>-0.264267931594486</v>
      </c>
      <c r="F1009">
        <v>-0.328646501298132</v>
      </c>
      <c r="G1009">
        <v>-0.22343884976685</v>
      </c>
      <c r="H1009">
        <v>1.858569882627154</v>
      </c>
      <c r="I1009">
        <v>0.031466641035191</v>
      </c>
    </row>
    <row r="1010" spans="1:9">
      <c r="A1010" s="1" t="s">
        <v>1022</v>
      </c>
      <c r="B1010">
        <f>HYPERLINK("https://www.suredividend.com/sure-analysis-MAC/","Macerich Co.")</f>
        <v>0</v>
      </c>
      <c r="C1010">
        <v>-0.139959432048681</v>
      </c>
      <c r="D1010">
        <v>-0.05653030117599901</v>
      </c>
      <c r="E1010">
        <v>-0.382455322681658</v>
      </c>
      <c r="F1010">
        <v>-0.491829115554943</v>
      </c>
      <c r="G1010">
        <v>-0.49509383633419</v>
      </c>
      <c r="H1010">
        <v>0.241145132018031</v>
      </c>
      <c r="I1010">
        <v>-0.804242038098931</v>
      </c>
    </row>
    <row r="1011" spans="1:9">
      <c r="A1011" s="1" t="s">
        <v>1023</v>
      </c>
      <c r="B1011">
        <f>HYPERLINK("https://www.suredividend.com/sure-analysis-research-database/","Mantech International Corp")</f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>
      <c r="A1012" s="1" t="s">
        <v>1024</v>
      </c>
      <c r="B1012">
        <f>HYPERLINK("https://www.suredividend.com/sure-analysis-research-database/","Marathon Digital Holdings Inc")</f>
        <v>0</v>
      </c>
      <c r="C1012">
        <v>-0.240112994350282</v>
      </c>
      <c r="D1012">
        <v>0.26439482961222</v>
      </c>
      <c r="E1012">
        <v>-0.525573192239859</v>
      </c>
      <c r="F1012">
        <v>-0.6725502130249541</v>
      </c>
      <c r="G1012">
        <v>-0.727525955938212</v>
      </c>
      <c r="H1012">
        <v>3.981481481481481</v>
      </c>
      <c r="I1012">
        <v>0.632281553398058</v>
      </c>
    </row>
    <row r="1013" spans="1:9">
      <c r="A1013" s="1" t="s">
        <v>1025</v>
      </c>
      <c r="B1013">
        <f>HYPERLINK("https://www.suredividend.com/sure-analysis-research-database/","908 Devices Inc")</f>
        <v>0</v>
      </c>
      <c r="C1013">
        <v>-0.249492900608519</v>
      </c>
      <c r="D1013">
        <v>-0.289145052833813</v>
      </c>
      <c r="E1013">
        <v>-0.221462388216728</v>
      </c>
      <c r="F1013">
        <v>-0.427908774642442</v>
      </c>
      <c r="G1013">
        <v>-0.5417956656346741</v>
      </c>
      <c r="H1013">
        <v>-0.6979591836734691</v>
      </c>
      <c r="I1013">
        <v>-0.6979591836734691</v>
      </c>
    </row>
    <row r="1014" spans="1:9">
      <c r="A1014" s="1" t="s">
        <v>1026</v>
      </c>
      <c r="B1014">
        <f>HYPERLINK("https://www.suredividend.com/sure-analysis-MATW/","Matthews International Corp.")</f>
        <v>0</v>
      </c>
      <c r="C1014">
        <v>-0.099127676447264</v>
      </c>
      <c r="D1014">
        <v>-0.175754409641351</v>
      </c>
      <c r="E1014">
        <v>-0.264455933723335</v>
      </c>
      <c r="F1014">
        <v>-0.366520378972491</v>
      </c>
      <c r="G1014">
        <v>-0.336293526524889</v>
      </c>
      <c r="H1014">
        <v>-0.038648692105241</v>
      </c>
      <c r="I1014">
        <v>-0.608843039661456</v>
      </c>
    </row>
    <row r="1015" spans="1:9">
      <c r="A1015" s="1" t="s">
        <v>1027</v>
      </c>
      <c r="B1015">
        <f>HYPERLINK("https://www.suredividend.com/sure-analysis-research-database/","Matson Inc")</f>
        <v>0</v>
      </c>
      <c r="C1015">
        <v>-0.118714708254907</v>
      </c>
      <c r="D1015">
        <v>-0.09696937135016501</v>
      </c>
      <c r="E1015">
        <v>-0.241802970559284</v>
      </c>
      <c r="F1015">
        <v>-0.264304810133401</v>
      </c>
      <c r="G1015">
        <v>-0.190970465176554</v>
      </c>
      <c r="H1015">
        <v>0.313395633635751</v>
      </c>
      <c r="I1015">
        <v>1.604135629581073</v>
      </c>
    </row>
    <row r="1016" spans="1:9">
      <c r="A1016" s="1" t="s">
        <v>1028</v>
      </c>
      <c r="B1016">
        <f>HYPERLINK("https://www.suredividend.com/sure-analysis-research-database/","MediaAlpha Inc")</f>
        <v>0</v>
      </c>
      <c r="C1016">
        <v>0.023569023569023</v>
      </c>
      <c r="D1016">
        <v>-0.181328545780969</v>
      </c>
      <c r="E1016">
        <v>-0.450602409638554</v>
      </c>
      <c r="F1016">
        <v>-0.4093264248704661</v>
      </c>
      <c r="G1016">
        <v>-0.5016393442622951</v>
      </c>
      <c r="H1016">
        <v>-0.713747645951035</v>
      </c>
      <c r="I1016">
        <v>-0.713747645951035</v>
      </c>
    </row>
    <row r="1017" spans="1:9">
      <c r="A1017" s="1" t="s">
        <v>1029</v>
      </c>
      <c r="B1017">
        <f>HYPERLINK("https://www.suredividend.com/sure-analysis-research-database/","Maxar Technologies Inc")</f>
        <v>0</v>
      </c>
      <c r="C1017">
        <v>-0.147881816945464</v>
      </c>
      <c r="D1017">
        <v>-0.235561452471366</v>
      </c>
      <c r="E1017">
        <v>-0.456046967156631</v>
      </c>
      <c r="F1017">
        <v>-0.320262944668386</v>
      </c>
      <c r="G1017">
        <v>-0.292459488453503</v>
      </c>
      <c r="H1017">
        <v>-0.301539747787918</v>
      </c>
      <c r="I1017">
        <v>0.620555595968413</v>
      </c>
    </row>
    <row r="1018" spans="1:9">
      <c r="A1018" s="1" t="s">
        <v>1030</v>
      </c>
      <c r="B1018">
        <f>HYPERLINK("https://www.suredividend.com/sure-analysis-research-database/","MBIA Inc.")</f>
        <v>0</v>
      </c>
      <c r="C1018">
        <v>-0.232613908872901</v>
      </c>
      <c r="D1018">
        <v>-0.229534510433386</v>
      </c>
      <c r="E1018">
        <v>-0.296187683284457</v>
      </c>
      <c r="F1018">
        <v>-0.392020265991133</v>
      </c>
      <c r="G1018">
        <v>-0.218241042345276</v>
      </c>
      <c r="H1018">
        <v>0.44578313253012</v>
      </c>
      <c r="I1018">
        <v>0.28</v>
      </c>
    </row>
    <row r="1019" spans="1:9">
      <c r="A1019" s="1" t="s">
        <v>1031</v>
      </c>
      <c r="B1019">
        <f>HYPERLINK("https://www.suredividend.com/sure-analysis-research-database/","Pro Farm Group Inc")</f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>
      <c r="A1020" s="1" t="s">
        <v>1032</v>
      </c>
      <c r="B1020">
        <f>HYPERLINK("https://www.suredividend.com/sure-analysis-research-database/","Merchants Bancorp")</f>
        <v>0</v>
      </c>
      <c r="C1020">
        <v>-0.128874645964274</v>
      </c>
      <c r="D1020">
        <v>0.022642975732099</v>
      </c>
      <c r="E1020">
        <v>-0.09845733437656901</v>
      </c>
      <c r="F1020">
        <v>-0.5065537166135431</v>
      </c>
      <c r="G1020">
        <v>-0.441750147034719</v>
      </c>
      <c r="H1020">
        <v>0.130958775673643</v>
      </c>
      <c r="I1020">
        <v>0.466342501139644</v>
      </c>
    </row>
    <row r="1021" spans="1:9">
      <c r="A1021" s="1" t="s">
        <v>1033</v>
      </c>
      <c r="B1021">
        <f>HYPERLINK("https://www.suredividend.com/sure-analysis-research-database/","Mustang Bio Inc")</f>
        <v>0</v>
      </c>
      <c r="C1021">
        <v>-0.244</v>
      </c>
      <c r="D1021">
        <v>-0.258241758241758</v>
      </c>
      <c r="E1021">
        <v>-0.5321782178217821</v>
      </c>
      <c r="F1021">
        <v>-0.7153614457831321</v>
      </c>
      <c r="G1021">
        <v>-0.793668122270742</v>
      </c>
      <c r="H1021">
        <v>-0.8597922848664681</v>
      </c>
      <c r="I1021">
        <v>-0.952272727272727</v>
      </c>
    </row>
    <row r="1022" spans="1:9">
      <c r="A1022" s="1" t="s">
        <v>1034</v>
      </c>
      <c r="B1022">
        <f>HYPERLINK("https://www.suredividend.com/sure-analysis-research-database/","Malibu Boats Inc")</f>
        <v>0</v>
      </c>
      <c r="C1022">
        <v>-0.136305499725927</v>
      </c>
      <c r="D1022">
        <v>-0.161582121319616</v>
      </c>
      <c r="E1022">
        <v>-0.06802050473186101</v>
      </c>
      <c r="F1022">
        <v>-0.312236286919831</v>
      </c>
      <c r="G1022">
        <v>-0.336095505617977</v>
      </c>
      <c r="H1022">
        <v>-0.165578111209179</v>
      </c>
      <c r="I1022">
        <v>0.467556659422539</v>
      </c>
    </row>
    <row r="1023" spans="1:9">
      <c r="A1023" s="1" t="s">
        <v>1035</v>
      </c>
      <c r="B1023">
        <f>HYPERLINK("https://www.suredividend.com/sure-analysis-research-database/","Mercantile Bank Corp.")</f>
        <v>0</v>
      </c>
      <c r="C1023">
        <v>-0.055384615384615</v>
      </c>
      <c r="D1023">
        <v>-0.030646719670609</v>
      </c>
      <c r="E1023">
        <v>-0.07187104146952701</v>
      </c>
      <c r="F1023">
        <v>-0.099138753172821</v>
      </c>
      <c r="G1023">
        <v>-0.05926046228002101</v>
      </c>
      <c r="H1023">
        <v>0.5842626470087361</v>
      </c>
      <c r="I1023">
        <v>0.015490362764912</v>
      </c>
    </row>
    <row r="1024" spans="1:9">
      <c r="A1024" s="1" t="s">
        <v>1036</v>
      </c>
      <c r="B1024">
        <f>HYPERLINK("https://www.suredividend.com/sure-analysis-research-database/","Moelis &amp; Co")</f>
        <v>0</v>
      </c>
      <c r="C1024">
        <v>-0.165784020262491</v>
      </c>
      <c r="D1024">
        <v>-0.08640219485379401</v>
      </c>
      <c r="E1024">
        <v>-0.167461366117079</v>
      </c>
      <c r="F1024">
        <v>-0.397142291391764</v>
      </c>
      <c r="G1024">
        <v>-0.429260969358418</v>
      </c>
      <c r="H1024">
        <v>0.13615338541095</v>
      </c>
      <c r="I1024">
        <v>0.199140775751076</v>
      </c>
    </row>
    <row r="1025" spans="1:9">
      <c r="A1025" s="1" t="s">
        <v>1037</v>
      </c>
      <c r="B1025">
        <f>HYPERLINK("https://www.suredividend.com/sure-analysis-research-database/","Metropolitan Bank Holding Corp")</f>
        <v>0</v>
      </c>
      <c r="C1025">
        <v>-0.129703652653342</v>
      </c>
      <c r="D1025">
        <v>-0.029511220411927</v>
      </c>
      <c r="E1025">
        <v>-0.315555555555555</v>
      </c>
      <c r="F1025">
        <v>-0.4073031071059791</v>
      </c>
      <c r="G1025">
        <v>-0.272831970517102</v>
      </c>
      <c r="H1025">
        <v>1.046677471636953</v>
      </c>
      <c r="I1025">
        <v>0.696855683955925</v>
      </c>
    </row>
    <row r="1026" spans="1:9">
      <c r="A1026" s="1" t="s">
        <v>1038</v>
      </c>
      <c r="B1026">
        <f>HYPERLINK("https://www.suredividend.com/sure-analysis-research-database/","Macatawa Bank Corp.")</f>
        <v>0</v>
      </c>
      <c r="C1026">
        <v>-0.019832985386221</v>
      </c>
      <c r="D1026">
        <v>0.08224609284956901</v>
      </c>
      <c r="E1026">
        <v>0.07715603276206201</v>
      </c>
      <c r="F1026">
        <v>0.092584620038862</v>
      </c>
      <c r="G1026">
        <v>0.197627702314903</v>
      </c>
      <c r="H1026">
        <v>0.378490266889808</v>
      </c>
      <c r="I1026">
        <v>0.03976347872305</v>
      </c>
    </row>
    <row r="1027" spans="1:9">
      <c r="A1027" s="1" t="s">
        <v>1039</v>
      </c>
      <c r="B1027">
        <f>HYPERLINK("https://www.suredividend.com/sure-analysis-research-database/","MetroCity Bankshares Inc")</f>
        <v>0</v>
      </c>
      <c r="C1027">
        <v>-0.007470119521912</v>
      </c>
      <c r="D1027">
        <v>-0.031103851277115</v>
      </c>
      <c r="E1027">
        <v>-0.067200853700774</v>
      </c>
      <c r="F1027">
        <v>-0.261118443492058</v>
      </c>
      <c r="G1027">
        <v>-0.051286689452288</v>
      </c>
      <c r="H1027">
        <v>0.4579050935239161</v>
      </c>
      <c r="I1027">
        <v>0.603649852348345</v>
      </c>
    </row>
    <row r="1028" spans="1:9">
      <c r="A1028" s="1" t="s">
        <v>1040</v>
      </c>
      <c r="B1028">
        <f>HYPERLINK("https://www.suredividend.com/sure-analysis-research-database/","MasterCraft Boat Holdings Inc")</f>
        <v>0</v>
      </c>
      <c r="C1028">
        <v>-0.04487482286254101</v>
      </c>
      <c r="D1028">
        <v>-0.066912782648823</v>
      </c>
      <c r="E1028">
        <v>-0.104120513956579</v>
      </c>
      <c r="F1028">
        <v>-0.286268972820331</v>
      </c>
      <c r="G1028">
        <v>-0.236981132075471</v>
      </c>
      <c r="H1028">
        <v>0.010999999999999</v>
      </c>
      <c r="I1028">
        <v>-0.081743869209809</v>
      </c>
    </row>
    <row r="1029" spans="1:9">
      <c r="A1029" s="1" t="s">
        <v>1041</v>
      </c>
      <c r="B1029">
        <f>HYPERLINK("https://www.suredividend.com/sure-analysis-research-database/","Seres Therapeutics Inc")</f>
        <v>0</v>
      </c>
      <c r="C1029">
        <v>0.08217054263565801</v>
      </c>
      <c r="D1029">
        <v>0.7234567901234571</v>
      </c>
      <c r="E1029">
        <v>0.027982326951399</v>
      </c>
      <c r="F1029">
        <v>-0.162064825930372</v>
      </c>
      <c r="G1029">
        <v>0.102685624012638</v>
      </c>
      <c r="H1029">
        <v>-0.7805031446540881</v>
      </c>
      <c r="I1029">
        <v>-0.3930434782608691</v>
      </c>
    </row>
    <row r="1030" spans="1:9">
      <c r="A1030" s="1" t="s">
        <v>1042</v>
      </c>
      <c r="B1030">
        <f>HYPERLINK("https://www.suredividend.com/sure-analysis-research-database/","Monarch Casino &amp; Resort, Inc.")</f>
        <v>0</v>
      </c>
      <c r="C1030">
        <v>-0.05140262688503301</v>
      </c>
      <c r="D1030">
        <v>0.025596072931276</v>
      </c>
      <c r="E1030">
        <v>-0.298140371925614</v>
      </c>
      <c r="F1030">
        <v>-0.20892494929006</v>
      </c>
      <c r="G1030">
        <v>-0.138311975254087</v>
      </c>
      <c r="H1030">
        <v>0.258335125833512</v>
      </c>
      <c r="I1030">
        <v>0.443375277572168</v>
      </c>
    </row>
    <row r="1031" spans="1:9">
      <c r="A1031" s="1" t="s">
        <v>1043</v>
      </c>
      <c r="B1031">
        <f>HYPERLINK("https://www.suredividend.com/sure-analysis-research-database/","Marcus Corp.")</f>
        <v>0</v>
      </c>
      <c r="C1031">
        <v>-0.153012048192771</v>
      </c>
      <c r="D1031">
        <v>-0.04067248449451</v>
      </c>
      <c r="E1031">
        <v>-0.107460261032959</v>
      </c>
      <c r="F1031">
        <v>-0.210409564939039</v>
      </c>
      <c r="G1031">
        <v>-0.23813445897251</v>
      </c>
      <c r="H1031">
        <v>0.845822611983406</v>
      </c>
      <c r="I1031">
        <v>-0.476172557552094</v>
      </c>
    </row>
    <row r="1032" spans="1:9">
      <c r="A1032" s="1" t="s">
        <v>1044</v>
      </c>
      <c r="B1032">
        <f>HYPERLINK("https://www.suredividend.com/sure-analysis-research-database/","Pediatrix Medical Group Inc")</f>
        <v>0</v>
      </c>
      <c r="C1032">
        <v>-0.097252747252747</v>
      </c>
      <c r="D1032">
        <v>-0.293029259896729</v>
      </c>
      <c r="E1032">
        <v>-0.277484608619173</v>
      </c>
      <c r="F1032">
        <v>-0.396177875780962</v>
      </c>
      <c r="G1032">
        <v>-0.39882912550311</v>
      </c>
      <c r="H1032">
        <v>-0.007850241545893</v>
      </c>
      <c r="I1032">
        <v>-0.61817336741808</v>
      </c>
    </row>
    <row r="1033" spans="1:9">
      <c r="A1033" s="1" t="s">
        <v>1045</v>
      </c>
      <c r="B1033">
        <f>HYPERLINK("https://www.suredividend.com/sure-analysis-MDC/","M.D.C. Holdings, Inc.")</f>
        <v>0</v>
      </c>
      <c r="C1033">
        <v>-0.081516587677725</v>
      </c>
      <c r="D1033">
        <v>-0.156562535360832</v>
      </c>
      <c r="E1033">
        <v>-0.158498671313691</v>
      </c>
      <c r="F1033">
        <v>-0.458644096203804</v>
      </c>
      <c r="G1033">
        <v>-0.357142857142857</v>
      </c>
      <c r="H1033">
        <v>-0.329572605418769</v>
      </c>
      <c r="I1033">
        <v>0.253330574022816</v>
      </c>
    </row>
    <row r="1034" spans="1:9">
      <c r="A1034" s="1" t="s">
        <v>1046</v>
      </c>
      <c r="B1034">
        <f>HYPERLINK("https://www.suredividend.com/sure-analysis-research-database/","Madrigal Pharmaceuticals Inc")</f>
        <v>0</v>
      </c>
      <c r="C1034">
        <v>0.07600986740672201</v>
      </c>
      <c r="D1034">
        <v>-0.04134615384615301</v>
      </c>
      <c r="E1034">
        <v>-0.223520249221183</v>
      </c>
      <c r="F1034">
        <v>-0.176421996695775</v>
      </c>
      <c r="G1034">
        <v>-0.136155464785245</v>
      </c>
      <c r="H1034">
        <v>-0.461413798425683</v>
      </c>
      <c r="I1034">
        <v>0.4413465510119781</v>
      </c>
    </row>
    <row r="1035" spans="1:9">
      <c r="A1035" s="1" t="s">
        <v>1047</v>
      </c>
      <c r="B1035">
        <f>HYPERLINK("https://www.suredividend.com/sure-analysis-research-database/","Allscripts Healthcare Solutions Inc")</f>
        <v>0</v>
      </c>
      <c r="C1035">
        <v>-0.157647058823529</v>
      </c>
      <c r="D1035">
        <v>-0.023858214042263</v>
      </c>
      <c r="E1035">
        <v>-0.370826010544815</v>
      </c>
      <c r="F1035">
        <v>-0.223848238482384</v>
      </c>
      <c r="G1035">
        <v>0.025053686471009</v>
      </c>
      <c r="H1035">
        <v>0.7067938021454111</v>
      </c>
      <c r="I1035">
        <v>0.024320457796852</v>
      </c>
    </row>
    <row r="1036" spans="1:9">
      <c r="A1036" s="1" t="s">
        <v>1048</v>
      </c>
      <c r="B1036">
        <f>HYPERLINK("https://www.suredividend.com/sure-analysis-research-database/","MedAvail Holdings Inc")</f>
        <v>0</v>
      </c>
      <c r="C1036">
        <v>-0.198214285714285</v>
      </c>
      <c r="D1036">
        <v>-0.389115646258503</v>
      </c>
      <c r="E1036">
        <v>-0.5418367346938771</v>
      </c>
      <c r="F1036">
        <v>-0.358571428571428</v>
      </c>
      <c r="G1036">
        <v>-0.667407407407407</v>
      </c>
      <c r="H1036">
        <v>-0.334814814814814</v>
      </c>
      <c r="I1036">
        <v>-0.3763888888888881</v>
      </c>
    </row>
    <row r="1037" spans="1:9">
      <c r="A1037" s="1" t="s">
        <v>1049</v>
      </c>
      <c r="B1037">
        <f>HYPERLINK("https://www.suredividend.com/sure-analysis-research-database/","Mimedx Group Inc")</f>
        <v>0</v>
      </c>
      <c r="C1037">
        <v>-0.147492625368731</v>
      </c>
      <c r="D1037">
        <v>-0.164739884393063</v>
      </c>
      <c r="E1037">
        <v>-0.374458874458874</v>
      </c>
      <c r="F1037">
        <v>-0.5215231788079471</v>
      </c>
      <c r="G1037">
        <v>-0.510998307952622</v>
      </c>
      <c r="H1037">
        <v>-0.210382513661202</v>
      </c>
      <c r="I1037">
        <v>-0.7659919028340081</v>
      </c>
    </row>
    <row r="1038" spans="1:9">
      <c r="A1038" s="1" t="s">
        <v>1050</v>
      </c>
      <c r="B1038">
        <f>HYPERLINK("https://www.suredividend.com/sure-analysis-research-database/","Mayville Engineering Company Inc")</f>
        <v>0</v>
      </c>
      <c r="C1038">
        <v>-0.08965517241379301</v>
      </c>
      <c r="D1038">
        <v>-0.133858267716535</v>
      </c>
      <c r="E1038">
        <v>-0.204819277108433</v>
      </c>
      <c r="F1038">
        <v>-0.557344064386317</v>
      </c>
      <c r="G1038">
        <v>-0.645351961311123</v>
      </c>
      <c r="H1038">
        <v>-0.303062302006335</v>
      </c>
      <c r="I1038">
        <v>-0.599271402550091</v>
      </c>
    </row>
    <row r="1039" spans="1:9">
      <c r="A1039" s="1" t="s">
        <v>1051</v>
      </c>
      <c r="B1039">
        <f>HYPERLINK("https://www.suredividend.com/sure-analysis-MED/","Medifast Inc")</f>
        <v>0</v>
      </c>
      <c r="C1039">
        <v>-0.06742340959866401</v>
      </c>
      <c r="D1039">
        <v>-0.3344629804738991</v>
      </c>
      <c r="E1039">
        <v>-0.341477364885053</v>
      </c>
      <c r="F1039">
        <v>-0.429431680225328</v>
      </c>
      <c r="G1039">
        <v>-0.373696554329699</v>
      </c>
      <c r="H1039">
        <v>-0.253229005254051</v>
      </c>
      <c r="I1039">
        <v>1.197232523826613</v>
      </c>
    </row>
    <row r="1040" spans="1:9">
      <c r="A1040" s="1" t="s">
        <v>1052</v>
      </c>
      <c r="B1040">
        <f>HYPERLINK("https://www.suredividend.com/sure-analysis-research-database/","Medpace Holdings Inc")</f>
        <v>0</v>
      </c>
      <c r="C1040">
        <v>-0.027530811208535</v>
      </c>
      <c r="D1040">
        <v>0.011995916283818</v>
      </c>
      <c r="E1040">
        <v>-0.037446137039509</v>
      </c>
      <c r="F1040">
        <v>-0.271273662929608</v>
      </c>
      <c r="G1040">
        <v>-0.159957627118644</v>
      </c>
      <c r="H1040">
        <v>0.286919831223628</v>
      </c>
      <c r="I1040">
        <v>3.721643346233997</v>
      </c>
    </row>
    <row r="1041" spans="1:9">
      <c r="A1041" s="1" t="s">
        <v>1053</v>
      </c>
      <c r="B1041">
        <f>HYPERLINK("https://www.suredividend.com/sure-analysis-research-database/","Montrose Environmental Group Inc")</f>
        <v>0</v>
      </c>
      <c r="C1041">
        <v>-0.170924291686019</v>
      </c>
      <c r="D1041">
        <v>-0.003071767662664</v>
      </c>
      <c r="E1041">
        <v>-0.285999999999999</v>
      </c>
      <c r="F1041">
        <v>-0.4936888384626291</v>
      </c>
      <c r="G1041">
        <v>-0.416761966998856</v>
      </c>
      <c r="H1041">
        <v>0.527599486521181</v>
      </c>
      <c r="I1041">
        <v>0.622727272727272</v>
      </c>
    </row>
    <row r="1042" spans="1:9">
      <c r="A1042" s="1" t="s">
        <v>1054</v>
      </c>
      <c r="B1042">
        <f>HYPERLINK("https://www.suredividend.com/sure-analysis-research-database/","Methode Electronics, Inc.")</f>
        <v>0</v>
      </c>
      <c r="C1042">
        <v>-0.09002006018054101</v>
      </c>
      <c r="D1042">
        <v>0.014095054994187</v>
      </c>
      <c r="E1042">
        <v>-0.159706673026561</v>
      </c>
      <c r="F1042">
        <v>-0.254407501535768</v>
      </c>
      <c r="G1042">
        <v>-0.145572824083121</v>
      </c>
      <c r="H1042">
        <v>0.24725905457145</v>
      </c>
      <c r="I1042">
        <v>-0.12756453714522</v>
      </c>
    </row>
    <row r="1043" spans="1:9">
      <c r="A1043" s="1" t="s">
        <v>1055</v>
      </c>
      <c r="B1043">
        <f>HYPERLINK("https://www.suredividend.com/sure-analysis-research-database/","MEI Pharma Inc")</f>
        <v>0</v>
      </c>
      <c r="C1043">
        <v>-0.3139365195184231</v>
      </c>
      <c r="D1043">
        <v>-0.409576138147566</v>
      </c>
      <c r="E1043">
        <v>-0.3304254940359621</v>
      </c>
      <c r="F1043">
        <v>-0.8591385767790261</v>
      </c>
      <c r="G1043">
        <v>-0.875049833887043</v>
      </c>
      <c r="H1043">
        <v>-0.8778896103896101</v>
      </c>
      <c r="I1043">
        <v>-0.843941908713693</v>
      </c>
    </row>
    <row r="1044" spans="1:9">
      <c r="A1044" s="1" t="s">
        <v>1056</v>
      </c>
      <c r="B1044">
        <f>HYPERLINK("https://www.suredividend.com/sure-analysis-research-database/","Mesa Air Group Inc.")</f>
        <v>0</v>
      </c>
      <c r="C1044">
        <v>-0.3482905982905981</v>
      </c>
      <c r="D1044">
        <v>-0.284037558685446</v>
      </c>
      <c r="E1044">
        <v>-0.593333333333333</v>
      </c>
      <c r="F1044">
        <v>-0.7276785714285711</v>
      </c>
      <c r="G1044">
        <v>-0.805979643765903</v>
      </c>
      <c r="H1044">
        <v>-0.5965608465608461</v>
      </c>
      <c r="I1044">
        <v>-0.8702127659574461</v>
      </c>
    </row>
    <row r="1045" spans="1:9">
      <c r="A1045" s="1" t="s">
        <v>1057</v>
      </c>
      <c r="B1045">
        <f>HYPERLINK("https://www.suredividend.com/sure-analysis-research-database/","MFA Financial Inc")</f>
        <v>0</v>
      </c>
      <c r="C1045">
        <v>-0.298900482549874</v>
      </c>
      <c r="D1045">
        <v>-0.3231826286653161</v>
      </c>
      <c r="E1045">
        <v>-0.475481471835163</v>
      </c>
      <c r="F1045">
        <v>-0.5539147823411781</v>
      </c>
      <c r="G1045">
        <v>-0.5470816439999251</v>
      </c>
      <c r="H1045">
        <v>-0.213025780189959</v>
      </c>
      <c r="I1045">
        <v>-0.6224646548806201</v>
      </c>
    </row>
    <row r="1046" spans="1:9">
      <c r="A1046" s="1" t="s">
        <v>1058</v>
      </c>
      <c r="B1046">
        <f>HYPERLINK("https://www.suredividend.com/sure-analysis-research-database/","Mistras Group Inc")</f>
        <v>0</v>
      </c>
      <c r="C1046">
        <v>-0.063116370808678</v>
      </c>
      <c r="D1046">
        <v>-0.2003367003367</v>
      </c>
      <c r="E1046">
        <v>-0.222585924713584</v>
      </c>
      <c r="F1046">
        <v>-0.360699865410497</v>
      </c>
      <c r="G1046">
        <v>-0.511819116135662</v>
      </c>
      <c r="H1046">
        <v>0.169950738916256</v>
      </c>
      <c r="I1046">
        <v>-0.77086348287506</v>
      </c>
    </row>
    <row r="1047" spans="1:9">
      <c r="A1047" s="1" t="s">
        <v>1059</v>
      </c>
      <c r="B1047">
        <f>HYPERLINK("https://www.suredividend.com/sure-analysis-MGEE/","MGE Energy, Inc.")</f>
        <v>0</v>
      </c>
      <c r="C1047">
        <v>-0.190336188163108</v>
      </c>
      <c r="D1047">
        <v>-0.170064675730353</v>
      </c>
      <c r="E1047">
        <v>-0.232396875295395</v>
      </c>
      <c r="F1047">
        <v>-0.217988004375513</v>
      </c>
      <c r="G1047">
        <v>-0.132285975746749</v>
      </c>
      <c r="H1047">
        <v>-0.004595143354643</v>
      </c>
      <c r="I1047">
        <v>0.060976855830096</v>
      </c>
    </row>
    <row r="1048" spans="1:9">
      <c r="A1048" s="1" t="s">
        <v>1060</v>
      </c>
      <c r="B1048">
        <f>HYPERLINK("https://www.suredividend.com/sure-analysis-research-database/","Moneygram International Inc.")</f>
        <v>0</v>
      </c>
      <c r="C1048">
        <v>0.009569377990430001</v>
      </c>
      <c r="D1048">
        <v>0.04249011857707501</v>
      </c>
      <c r="E1048">
        <v>-0.003777148253068</v>
      </c>
      <c r="F1048">
        <v>0.337135614702154</v>
      </c>
      <c r="G1048">
        <v>0.323713927227101</v>
      </c>
      <c r="H1048">
        <v>2.349206349206349</v>
      </c>
      <c r="I1048">
        <v>-0.342679127725856</v>
      </c>
    </row>
    <row r="1049" spans="1:9">
      <c r="A1049" s="1" t="s">
        <v>1061</v>
      </c>
      <c r="B1049">
        <f>HYPERLINK("https://www.suredividend.com/sure-analysis-research-database/","Magnite Inc")</f>
        <v>0</v>
      </c>
      <c r="C1049">
        <v>-0.129870129870129</v>
      </c>
      <c r="D1049">
        <v>-0.235159817351598</v>
      </c>
      <c r="E1049">
        <v>-0.443983402489626</v>
      </c>
      <c r="F1049">
        <v>-0.617142857142857</v>
      </c>
      <c r="G1049">
        <v>-0.7620738636363631</v>
      </c>
      <c r="H1049">
        <v>-0.173859432799013</v>
      </c>
      <c r="I1049">
        <v>0.8256130790190731</v>
      </c>
    </row>
    <row r="1050" spans="1:9">
      <c r="A1050" s="1" t="s">
        <v>1062</v>
      </c>
      <c r="B1050">
        <f>HYPERLINK("https://www.suredividend.com/sure-analysis-research-database/","Macrogenics Inc")</f>
        <v>0</v>
      </c>
      <c r="C1050">
        <v>-0.188679245283018</v>
      </c>
      <c r="D1050">
        <v>-0.017142857142857</v>
      </c>
      <c r="E1050">
        <v>-0.616926503340757</v>
      </c>
      <c r="F1050">
        <v>-0.7856697819314641</v>
      </c>
      <c r="G1050">
        <v>-0.833252544837615</v>
      </c>
      <c r="H1050">
        <v>-0.864886095836606</v>
      </c>
      <c r="I1050">
        <v>-0.80376497432972</v>
      </c>
    </row>
    <row r="1051" spans="1:9">
      <c r="A1051" s="1" t="s">
        <v>1063</v>
      </c>
      <c r="B1051">
        <f>HYPERLINK("https://www.suredividend.com/sure-analysis-research-database/","MGP Ingredients, Inc.")</f>
        <v>0</v>
      </c>
      <c r="C1051">
        <v>-0.076327822722476</v>
      </c>
      <c r="D1051">
        <v>0.026160047361232</v>
      </c>
      <c r="E1051">
        <v>0.125899438658095</v>
      </c>
      <c r="F1051">
        <v>0.240635294089856</v>
      </c>
      <c r="G1051">
        <v>0.533858345903748</v>
      </c>
      <c r="H1051">
        <v>1.651768560991434</v>
      </c>
      <c r="I1051">
        <v>0.735501277999084</v>
      </c>
    </row>
    <row r="1052" spans="1:9">
      <c r="A1052" s="1" t="s">
        <v>1064</v>
      </c>
      <c r="B1052">
        <f>HYPERLINK("https://www.suredividend.com/sure-analysis-MGRC/","McGrath Rentcorp")</f>
        <v>0</v>
      </c>
      <c r="C1052">
        <v>-0.027551732155312</v>
      </c>
      <c r="D1052">
        <v>0.101758203258254</v>
      </c>
      <c r="E1052">
        <v>0.016419457415487</v>
      </c>
      <c r="F1052">
        <v>0.060163821608584</v>
      </c>
      <c r="G1052">
        <v>0.150713951632872</v>
      </c>
      <c r="H1052">
        <v>0.289625338015965</v>
      </c>
      <c r="I1052">
        <v>1.053435976492883</v>
      </c>
    </row>
    <row r="1053" spans="1:9">
      <c r="A1053" s="1" t="s">
        <v>1065</v>
      </c>
      <c r="B1053">
        <f>HYPERLINK("https://www.suredividend.com/sure-analysis-research-database/","Magenta Therapeutics Inc")</f>
        <v>0</v>
      </c>
      <c r="C1053">
        <v>-0.404145077720207</v>
      </c>
      <c r="D1053">
        <v>-0.447115384615384</v>
      </c>
      <c r="E1053">
        <v>-0.55078125</v>
      </c>
      <c r="F1053">
        <v>-0.74040632054176</v>
      </c>
      <c r="G1053">
        <v>-0.8335745296671491</v>
      </c>
      <c r="H1053">
        <v>-0.847480106100795</v>
      </c>
      <c r="I1053">
        <v>-0.9207988980716251</v>
      </c>
    </row>
    <row r="1054" spans="1:9">
      <c r="A1054" s="1" t="s">
        <v>1066</v>
      </c>
      <c r="B1054">
        <f>HYPERLINK("https://www.suredividend.com/sure-analysis-research-database/","MeiraGTx Holdings plc")</f>
        <v>0</v>
      </c>
      <c r="C1054">
        <v>-0.166486486486486</v>
      </c>
      <c r="D1054">
        <v>-0.105568445475637</v>
      </c>
      <c r="E1054">
        <v>-0.421605401350337</v>
      </c>
      <c r="F1054">
        <v>-0.6752316764953661</v>
      </c>
      <c r="G1054">
        <v>-0.396713615023474</v>
      </c>
      <c r="H1054">
        <v>-0.457805907172995</v>
      </c>
      <c r="I1054">
        <v>-0.486</v>
      </c>
    </row>
    <row r="1055" spans="1:9">
      <c r="A1055" s="1" t="s">
        <v>1067</v>
      </c>
      <c r="B1055">
        <f>HYPERLINK("https://www.suredividend.com/sure-analysis-research-database/","Magnolia Oil &amp; Gas Corp")</f>
        <v>0</v>
      </c>
      <c r="C1055">
        <v>-0.026747195858498</v>
      </c>
      <c r="D1055">
        <v>0.121779731389445</v>
      </c>
      <c r="E1055">
        <v>-0.113810184112219</v>
      </c>
      <c r="F1055">
        <v>0.212394802179731</v>
      </c>
      <c r="G1055">
        <v>0.156033820138355</v>
      </c>
      <c r="H1055">
        <v>3.458409912847572</v>
      </c>
      <c r="I1055">
        <v>1.288032454361054</v>
      </c>
    </row>
    <row r="1056" spans="1:9">
      <c r="A1056" s="1" t="s">
        <v>1068</v>
      </c>
      <c r="B1056">
        <f>HYPERLINK("https://www.suredividend.com/sure-analysis-research-database/","Maiden Holdings Ltd")</f>
        <v>0</v>
      </c>
      <c r="C1056">
        <v>-0.004608294930875</v>
      </c>
      <c r="D1056">
        <v>0.155080213903743</v>
      </c>
      <c r="E1056">
        <v>-0.031390134529147</v>
      </c>
      <c r="F1056">
        <v>-0.294117647058823</v>
      </c>
      <c r="G1056">
        <v>-0.349397590361445</v>
      </c>
      <c r="H1056">
        <v>0.770491803278688</v>
      </c>
      <c r="I1056">
        <v>-0.724644332262505</v>
      </c>
    </row>
    <row r="1057" spans="1:9">
      <c r="A1057" s="1" t="s">
        <v>1069</v>
      </c>
      <c r="B1057">
        <f>HYPERLINK("https://www.suredividend.com/sure-analysis-research-database/","MI Homes Inc.")</f>
        <v>0</v>
      </c>
      <c r="C1057">
        <v>-0.065080475857242</v>
      </c>
      <c r="D1057">
        <v>-0.07308048103607701</v>
      </c>
      <c r="E1057">
        <v>-0.032818532818532</v>
      </c>
      <c r="F1057">
        <v>-0.355419749115471</v>
      </c>
      <c r="G1057">
        <v>-0.313110539845758</v>
      </c>
      <c r="H1057">
        <v>-0.156388128814986</v>
      </c>
      <c r="I1057">
        <v>0.4182590233545641</v>
      </c>
    </row>
    <row r="1058" spans="1:9">
      <c r="A1058" s="1" t="s">
        <v>1070</v>
      </c>
      <c r="B1058">
        <f>HYPERLINK("https://www.suredividend.com/sure-analysis-research-database/","Metromile Inc")</f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>
      <c r="A1059" s="1" t="s">
        <v>1071</v>
      </c>
      <c r="B1059">
        <f>HYPERLINK("https://www.suredividend.com/sure-analysis-research-database/","Mimecast Ltd")</f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>
      <c r="A1060" s="1" t="s">
        <v>1072</v>
      </c>
      <c r="B1060">
        <f>HYPERLINK("https://www.suredividend.com/sure-analysis-research-database/","Mirum Pharmaceuticals Inc")</f>
        <v>0</v>
      </c>
      <c r="C1060">
        <v>-0.275546719681908</v>
      </c>
      <c r="D1060">
        <v>-0.236378876781223</v>
      </c>
      <c r="E1060">
        <v>-0.336489439184268</v>
      </c>
      <c r="F1060">
        <v>0.1423197492163</v>
      </c>
      <c r="G1060">
        <v>0.09232613908872801</v>
      </c>
      <c r="H1060">
        <v>-0.08165322580645101</v>
      </c>
      <c r="I1060">
        <v>0.379258137774413</v>
      </c>
    </row>
    <row r="1061" spans="1:9">
      <c r="A1061" s="1" t="s">
        <v>1073</v>
      </c>
      <c r="B1061">
        <f>HYPERLINK("https://www.suredividend.com/sure-analysis-research-database/","Mitek Systems Inc")</f>
        <v>0</v>
      </c>
      <c r="C1061">
        <v>0.020771513353115</v>
      </c>
      <c r="D1061">
        <v>0.04665314401622701</v>
      </c>
      <c r="E1061">
        <v>-0.233853006681514</v>
      </c>
      <c r="F1061">
        <v>-0.418591549295774</v>
      </c>
      <c r="G1061">
        <v>-0.436988543371522</v>
      </c>
      <c r="H1061">
        <v>-0.257019438444924</v>
      </c>
      <c r="I1061">
        <v>0.07500000000000001</v>
      </c>
    </row>
    <row r="1062" spans="1:9">
      <c r="A1062" s="1" t="s">
        <v>1074</v>
      </c>
      <c r="B1062">
        <f>HYPERLINK("https://www.suredividend.com/sure-analysis-research-database/","Mesa Laboratories, Inc.")</f>
        <v>0</v>
      </c>
      <c r="C1062">
        <v>-0.213184572011277</v>
      </c>
      <c r="D1062">
        <v>-0.3558832310629571</v>
      </c>
      <c r="E1062">
        <v>-0.4761579377627541</v>
      </c>
      <c r="F1062">
        <v>-0.599279883006955</v>
      </c>
      <c r="G1062">
        <v>-0.5727709469912871</v>
      </c>
      <c r="H1062">
        <v>-0.534304110031615</v>
      </c>
      <c r="I1062">
        <v>-0.130728102194618</v>
      </c>
    </row>
    <row r="1063" spans="1:9">
      <c r="A1063" s="1" t="s">
        <v>1075</v>
      </c>
      <c r="B1063">
        <f>HYPERLINK("https://www.suredividend.com/sure-analysis-MLI/","Mueller Industries, Inc.")</f>
        <v>0</v>
      </c>
      <c r="C1063">
        <v>-0.008767734736170001</v>
      </c>
      <c r="D1063">
        <v>0.17631479379493</v>
      </c>
      <c r="E1063">
        <v>0.213730102185221</v>
      </c>
      <c r="F1063">
        <v>0.06107404310506601</v>
      </c>
      <c r="G1063">
        <v>0.456062869694315</v>
      </c>
      <c r="H1063">
        <v>1.179498413922431</v>
      </c>
      <c r="I1063">
        <v>0.8992580736794841</v>
      </c>
    </row>
    <row r="1064" spans="1:9">
      <c r="A1064" s="1" t="s">
        <v>1076</v>
      </c>
      <c r="B1064">
        <f>HYPERLINK("https://www.suredividend.com/sure-analysis-research-database/","MillerKnoll Inc")</f>
        <v>0</v>
      </c>
      <c r="C1064">
        <v>-0.363469985358711</v>
      </c>
      <c r="D1064">
        <v>-0.36562944588334</v>
      </c>
      <c r="E1064">
        <v>-0.454862351960175</v>
      </c>
      <c r="F1064">
        <v>-0.5480757486376</v>
      </c>
      <c r="G1064">
        <v>-0.534404283801874</v>
      </c>
      <c r="H1064">
        <v>-0.442413748877773</v>
      </c>
      <c r="I1064">
        <v>-0.4738307181197081</v>
      </c>
    </row>
    <row r="1065" spans="1:9">
      <c r="A1065" s="1" t="s">
        <v>1077</v>
      </c>
      <c r="B1065">
        <f>HYPERLINK("https://www.suredividend.com/sure-analysis-research-database/","MeridianLink Inc")</f>
        <v>0</v>
      </c>
      <c r="C1065">
        <v>-0.04703247480403101</v>
      </c>
      <c r="D1065">
        <v>-0.037330316742081</v>
      </c>
      <c r="E1065">
        <v>-0.069436850738108</v>
      </c>
      <c r="F1065">
        <v>-0.211306765523632</v>
      </c>
      <c r="G1065">
        <v>-0.215668202764977</v>
      </c>
      <c r="H1065">
        <v>-0.308130081300813</v>
      </c>
      <c r="I1065">
        <v>-0.308130081300813</v>
      </c>
    </row>
    <row r="1066" spans="1:9">
      <c r="A1066" s="1" t="s">
        <v>1078</v>
      </c>
      <c r="B1066">
        <f>HYPERLINK("https://www.suredividend.com/sure-analysis-MLR/","Miller Industries Inc.")</f>
        <v>0</v>
      </c>
      <c r="C1066">
        <v>-0.090832984512348</v>
      </c>
      <c r="D1066">
        <v>-0.0228760375194</v>
      </c>
      <c r="E1066">
        <v>-0.181908578660318</v>
      </c>
      <c r="F1066">
        <v>-0.335704651596663</v>
      </c>
      <c r="G1066">
        <v>-0.350985026638897</v>
      </c>
      <c r="H1066">
        <v>-0.278220674391788</v>
      </c>
      <c r="I1066">
        <v>-0.12134856005534</v>
      </c>
    </row>
    <row r="1067" spans="1:9">
      <c r="A1067" s="1" t="s">
        <v>1079</v>
      </c>
      <c r="B1067">
        <f>HYPERLINK("https://www.suredividend.com/sure-analysis-research-database/","Meta Materials Inc")</f>
        <v>0</v>
      </c>
      <c r="C1067">
        <v>-0.106436233611442</v>
      </c>
      <c r="D1067">
        <v>-0.292735849056603</v>
      </c>
      <c r="E1067">
        <v>-0.4968456375838921</v>
      </c>
      <c r="F1067">
        <v>-0.695243902439024</v>
      </c>
      <c r="G1067">
        <v>-0.8585471698113201</v>
      </c>
      <c r="H1067">
        <v>0.153384615384615</v>
      </c>
      <c r="I1067">
        <v>-0.7116538461538461</v>
      </c>
    </row>
    <row r="1068" spans="1:9">
      <c r="A1068" s="1" t="s">
        <v>1080</v>
      </c>
      <c r="B1068">
        <f>HYPERLINK("https://www.suredividend.com/sure-analysis-research-database/","Marcus &amp; Millichap Inc")</f>
        <v>0</v>
      </c>
      <c r="C1068">
        <v>-0.114347413883914</v>
      </c>
      <c r="D1068">
        <v>-0.07490440953979001</v>
      </c>
      <c r="E1068">
        <v>-0.34862568347818</v>
      </c>
      <c r="F1068">
        <v>-0.3386326628540861</v>
      </c>
      <c r="G1068">
        <v>-0.213270763054839</v>
      </c>
      <c r="H1068">
        <v>0.122122122122122</v>
      </c>
      <c r="I1068">
        <v>0.226007546344397</v>
      </c>
    </row>
    <row r="1069" spans="1:9">
      <c r="A1069" s="1" t="s">
        <v>1081</v>
      </c>
      <c r="B1069">
        <f>HYPERLINK("https://www.suredividend.com/sure-analysis-MMS/","Maximus Inc.")</f>
        <v>0</v>
      </c>
      <c r="C1069">
        <v>-0.055045871559633</v>
      </c>
      <c r="D1069">
        <v>-0.080148885749005</v>
      </c>
      <c r="E1069">
        <v>-0.223770285528187</v>
      </c>
      <c r="F1069">
        <v>-0.266937455835777</v>
      </c>
      <c r="G1069">
        <v>-0.310578932018875</v>
      </c>
      <c r="H1069">
        <v>-0.155296312622374</v>
      </c>
      <c r="I1069">
        <v>-0.06696107215360801</v>
      </c>
    </row>
    <row r="1070" spans="1:9">
      <c r="A1070" s="1" t="s">
        <v>1082</v>
      </c>
      <c r="B1070">
        <f>HYPERLINK("https://www.suredividend.com/sure-analysis-research-database/","Merit Medical Systems, Inc.")</f>
        <v>0</v>
      </c>
      <c r="C1070">
        <v>-0.081366965012205</v>
      </c>
      <c r="D1070">
        <v>0.047698589458054</v>
      </c>
      <c r="E1070">
        <v>-0.16997500367593</v>
      </c>
      <c r="F1070">
        <v>-0.09390048154093</v>
      </c>
      <c r="G1070">
        <v>-0.221594043022614</v>
      </c>
      <c r="H1070">
        <v>0.180715331520602</v>
      </c>
      <c r="I1070">
        <v>0.293241695303551</v>
      </c>
    </row>
    <row r="1071" spans="1:9">
      <c r="A1071" s="1" t="s">
        <v>1083</v>
      </c>
      <c r="B1071">
        <f>HYPERLINK("https://www.suredividend.com/sure-analysis-research-database/","Mannkind Corp")</f>
        <v>0</v>
      </c>
      <c r="C1071">
        <v>-0.206185567010309</v>
      </c>
      <c r="D1071">
        <v>-0.290322580645161</v>
      </c>
      <c r="E1071">
        <v>-0.17426273458445</v>
      </c>
      <c r="F1071">
        <v>-0.295194508009153</v>
      </c>
      <c r="G1071">
        <v>-0.3984375</v>
      </c>
      <c r="H1071">
        <v>0.6296296296296291</v>
      </c>
      <c r="I1071">
        <v>-0.5409836065573771</v>
      </c>
    </row>
    <row r="1072" spans="1:9">
      <c r="A1072" s="1" t="s">
        <v>1084</v>
      </c>
      <c r="B1072">
        <f>HYPERLINK("https://www.suredividend.com/sure-analysis-research-database/","Mind Medicine Inc")</f>
        <v>0</v>
      </c>
      <c r="C1072">
        <v>-0.63898916967509</v>
      </c>
      <c r="D1072">
        <v>-0.684393246015464</v>
      </c>
      <c r="E1072">
        <v>-0.684393246015464</v>
      </c>
      <c r="F1072">
        <v>-0.684393246015464</v>
      </c>
      <c r="G1072">
        <v>-0.684393246015464</v>
      </c>
      <c r="H1072">
        <v>-0.684393246015464</v>
      </c>
      <c r="I1072">
        <v>-0.684393246015464</v>
      </c>
    </row>
    <row r="1073" spans="1:9">
      <c r="A1073" s="1" t="s">
        <v>1085</v>
      </c>
      <c r="B1073">
        <f>HYPERLINK("https://www.suredividend.com/sure-analysis-research-database/","Brigham Minerals Inc")</f>
        <v>0</v>
      </c>
      <c r="C1073">
        <v>-0.022190408017179</v>
      </c>
      <c r="D1073">
        <v>0.126779152111061</v>
      </c>
      <c r="E1073">
        <v>0.019132990886742</v>
      </c>
      <c r="F1073">
        <v>0.356746985558491</v>
      </c>
      <c r="G1073">
        <v>0.417836087353649</v>
      </c>
      <c r="H1073">
        <v>2.113958100622336</v>
      </c>
      <c r="I1073">
        <v>0.6792776401600601</v>
      </c>
    </row>
    <row r="1074" spans="1:9">
      <c r="A1074" s="1" t="s">
        <v>1086</v>
      </c>
      <c r="B1074">
        <f>HYPERLINK("https://www.suredividend.com/sure-analysis-research-database/","Monro Inc")</f>
        <v>0</v>
      </c>
      <c r="C1074">
        <v>-0.01594387755102</v>
      </c>
      <c r="D1074">
        <v>0.057404573177695</v>
      </c>
      <c r="E1074">
        <v>0.040844547876825</v>
      </c>
      <c r="F1074">
        <v>-0.19160766863773</v>
      </c>
      <c r="G1074">
        <v>-0.17901513740722</v>
      </c>
      <c r="H1074">
        <v>0.08725011920056901</v>
      </c>
      <c r="I1074">
        <v>-0.08539296094396701</v>
      </c>
    </row>
    <row r="1075" spans="1:9">
      <c r="A1075" s="1" t="s">
        <v>1087</v>
      </c>
      <c r="B1075">
        <f>HYPERLINK("https://www.suredividend.com/sure-analysis-research-database/","Momentive Global Inc")</f>
        <v>0</v>
      </c>
      <c r="C1075">
        <v>-0.232782369146005</v>
      </c>
      <c r="D1075">
        <v>-0.414915966386554</v>
      </c>
      <c r="E1075">
        <v>-0.6642555756479801</v>
      </c>
      <c r="F1075">
        <v>-0.7366430260047281</v>
      </c>
      <c r="G1075">
        <v>-0.7649789029535861</v>
      </c>
      <c r="H1075">
        <v>-0.7569808027923211</v>
      </c>
      <c r="I1075">
        <v>-0.67691415313225</v>
      </c>
    </row>
    <row r="1076" spans="1:9">
      <c r="A1076" s="1" t="s">
        <v>1088</v>
      </c>
      <c r="B1076">
        <f>HYPERLINK("https://www.suredividend.com/sure-analysis-research-database/","Modine Manufacturing Co.")</f>
        <v>0</v>
      </c>
      <c r="C1076">
        <v>-0.125408229915088</v>
      </c>
      <c r="D1076">
        <v>0.229568411386593</v>
      </c>
      <c r="E1076">
        <v>0.6906565656565651</v>
      </c>
      <c r="F1076">
        <v>0.327056491575817</v>
      </c>
      <c r="G1076">
        <v>0.147386461011139</v>
      </c>
      <c r="H1076">
        <v>0.870111731843575</v>
      </c>
      <c r="I1076">
        <v>-0.35625</v>
      </c>
    </row>
    <row r="1077" spans="1:9">
      <c r="A1077" s="1" t="s">
        <v>1089</v>
      </c>
      <c r="B1077">
        <f>HYPERLINK("https://www.suredividend.com/sure-analysis-research-database/","Model N Inc")</f>
        <v>0</v>
      </c>
      <c r="C1077">
        <v>0.058490566037735</v>
      </c>
      <c r="D1077">
        <v>0.26067415730337</v>
      </c>
      <c r="E1077">
        <v>0.246205109218807</v>
      </c>
      <c r="F1077">
        <v>0.12087912087912</v>
      </c>
      <c r="G1077">
        <v>0.03856834310398</v>
      </c>
      <c r="H1077">
        <v>-0.05475989890480201</v>
      </c>
      <c r="I1077">
        <v>1.329411764705882</v>
      </c>
    </row>
    <row r="1078" spans="1:9">
      <c r="A1078" s="1" t="s">
        <v>1090</v>
      </c>
      <c r="B1078">
        <f>HYPERLINK("https://www.suredividend.com/sure-analysis-research-database/","ModivCare Inc")</f>
        <v>0</v>
      </c>
      <c r="C1078">
        <v>-0.144931433180962</v>
      </c>
      <c r="D1078">
        <v>0.088792513124857</v>
      </c>
      <c r="E1078">
        <v>-0.152150728759331</v>
      </c>
      <c r="F1078">
        <v>-0.35666599231236</v>
      </c>
      <c r="G1078">
        <v>-0.436769394261423</v>
      </c>
      <c r="H1078">
        <v>-0.011398963730569</v>
      </c>
      <c r="I1078">
        <v>0.7706013363028951</v>
      </c>
    </row>
    <row r="1079" spans="1:9">
      <c r="A1079" s="1" t="s">
        <v>1091</v>
      </c>
      <c r="B1079">
        <f>HYPERLINK("https://www.suredividend.com/sure-analysis-research-database/","MidWestOne Financial Group Inc")</f>
        <v>0</v>
      </c>
      <c r="C1079">
        <v>-0.09561231172233101</v>
      </c>
      <c r="D1079">
        <v>-0.048452443293002</v>
      </c>
      <c r="E1079">
        <v>-0.107791800858613</v>
      </c>
      <c r="F1079">
        <v>-0.126676215681252</v>
      </c>
      <c r="G1079">
        <v>-0.07979343661502501</v>
      </c>
      <c r="H1079">
        <v>0.42596789765247</v>
      </c>
      <c r="I1079">
        <v>-0.126665170003067</v>
      </c>
    </row>
    <row r="1080" spans="1:9">
      <c r="A1080" s="1" t="s">
        <v>1092</v>
      </c>
      <c r="B1080">
        <f>HYPERLINK("https://www.suredividend.com/sure-analysis-research-database/","Moog, Inc.")</f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>
      <c r="A1081" s="1" t="s">
        <v>1093</v>
      </c>
      <c r="B1081">
        <f>HYPERLINK("https://www.suredividend.com/sure-analysis-research-database/","Morphic Holding Inc")</f>
        <v>0</v>
      </c>
      <c r="C1081">
        <v>-0.059201623815967</v>
      </c>
      <c r="D1081">
        <v>0.102259215219976</v>
      </c>
      <c r="E1081">
        <v>-0.316203589869682</v>
      </c>
      <c r="F1081">
        <v>-0.413043478260869</v>
      </c>
      <c r="G1081">
        <v>-0.5185249307479221</v>
      </c>
      <c r="H1081">
        <v>0.033828996282527</v>
      </c>
      <c r="I1081">
        <v>0.544999999999999</v>
      </c>
    </row>
    <row r="1082" spans="1:9">
      <c r="A1082" s="1" t="s">
        <v>1094</v>
      </c>
      <c r="B1082">
        <f>HYPERLINK("https://www.suredividend.com/sure-analysis-research-database/","Movado Group, Inc.")</f>
        <v>0</v>
      </c>
      <c r="C1082">
        <v>-0.028355387523629</v>
      </c>
      <c r="D1082">
        <v>-0.022503961965134</v>
      </c>
      <c r="E1082">
        <v>-0.164972152200341</v>
      </c>
      <c r="F1082">
        <v>-0.248563645489676</v>
      </c>
      <c r="G1082">
        <v>-0.023231507435032</v>
      </c>
      <c r="H1082">
        <v>1.944405724596863</v>
      </c>
      <c r="I1082">
        <v>0.246534037169672</v>
      </c>
    </row>
    <row r="1083" spans="1:9">
      <c r="A1083" s="1" t="s">
        <v>1095</v>
      </c>
      <c r="B1083">
        <f>HYPERLINK("https://www.suredividend.com/sure-analysis-research-database/","MP Materials Corporation")</f>
        <v>0</v>
      </c>
      <c r="C1083">
        <v>-0.105340808498082</v>
      </c>
      <c r="D1083">
        <v>-0.027893555626803</v>
      </c>
      <c r="E1083">
        <v>-0.422256097560975</v>
      </c>
      <c r="F1083">
        <v>-0.332452664024658</v>
      </c>
      <c r="G1083">
        <v>0.003641178417742</v>
      </c>
      <c r="H1083">
        <v>1.181294964028777</v>
      </c>
      <c r="I1083">
        <v>2.032</v>
      </c>
    </row>
    <row r="1084" spans="1:9">
      <c r="A1084" s="1" t="s">
        <v>1096</v>
      </c>
      <c r="B1084">
        <f>HYPERLINK("https://www.suredividend.com/sure-analysis-research-database/","Motorcar Parts of America Inc.")</f>
        <v>0</v>
      </c>
      <c r="C1084">
        <v>0.09279778393351701</v>
      </c>
      <c r="D1084">
        <v>0.140997830802602</v>
      </c>
      <c r="E1084">
        <v>-0.016822429906542</v>
      </c>
      <c r="F1084">
        <v>-0.075571177504393</v>
      </c>
      <c r="G1084">
        <v>-0.223425196850393</v>
      </c>
      <c r="H1084">
        <v>0.001904761904761</v>
      </c>
      <c r="I1084">
        <v>-0.454356846473029</v>
      </c>
    </row>
    <row r="1085" spans="1:9">
      <c r="A1085" s="1" t="s">
        <v>1097</v>
      </c>
      <c r="B1085">
        <f>HYPERLINK("https://www.suredividend.com/sure-analysis-research-database/","Mid Penn Bancorp, Inc.")</f>
        <v>0</v>
      </c>
      <c r="C1085">
        <v>0.012929567880231</v>
      </c>
      <c r="D1085">
        <v>0.115520232621753</v>
      </c>
      <c r="E1085">
        <v>0.150847188987123</v>
      </c>
      <c r="F1085">
        <v>-0.041572632182168</v>
      </c>
      <c r="G1085">
        <v>0.082140143873385</v>
      </c>
      <c r="H1085">
        <v>0.6942978936525011</v>
      </c>
      <c r="I1085">
        <v>0.171447684256089</v>
      </c>
    </row>
    <row r="1086" spans="1:9">
      <c r="A1086" s="1" t="s">
        <v>1098</v>
      </c>
      <c r="B1086">
        <f>HYPERLINK("https://www.suredividend.com/sure-analysis-research-database/","MultiPlan Corp")</f>
        <v>0</v>
      </c>
      <c r="C1086">
        <v>-0.163076923076923</v>
      </c>
      <c r="D1086">
        <v>-0.515151515151515</v>
      </c>
      <c r="E1086">
        <v>-0.4414784394250511</v>
      </c>
      <c r="F1086">
        <v>-0.386004514672686</v>
      </c>
      <c r="G1086">
        <v>-0.461386138613861</v>
      </c>
      <c r="H1086">
        <v>-0.7230142566191441</v>
      </c>
      <c r="I1086">
        <v>-0.7201646090534971</v>
      </c>
    </row>
    <row r="1087" spans="1:9">
      <c r="A1087" s="1" t="s">
        <v>1099</v>
      </c>
      <c r="B1087">
        <f>HYPERLINK("https://www.suredividend.com/sure-analysis-research-database/","Marine Products Corp")</f>
        <v>0</v>
      </c>
      <c r="C1087">
        <v>-0.166666666666666</v>
      </c>
      <c r="D1087">
        <v>-0.03300025564361</v>
      </c>
      <c r="E1087">
        <v>-0.239610190971463</v>
      </c>
      <c r="F1087">
        <v>-0.282746339533043</v>
      </c>
      <c r="G1087">
        <v>-0.290334684688359</v>
      </c>
      <c r="H1087">
        <v>-0.4627109014105381</v>
      </c>
      <c r="I1087">
        <v>-0.37577131705077</v>
      </c>
    </row>
    <row r="1088" spans="1:9">
      <c r="A1088" s="1" t="s">
        <v>1100</v>
      </c>
      <c r="B1088">
        <f>HYPERLINK("https://www.suredividend.com/sure-analysis-research-database/","MRC Global Inc")</f>
        <v>0</v>
      </c>
      <c r="C1088">
        <v>-0.162079510703363</v>
      </c>
      <c r="D1088">
        <v>-0.233923578751164</v>
      </c>
      <c r="E1088">
        <v>-0.276408450704225</v>
      </c>
      <c r="F1088">
        <v>0.194767441860465</v>
      </c>
      <c r="G1088">
        <v>0.055198973042362</v>
      </c>
      <c r="H1088">
        <v>0.7564102564102561</v>
      </c>
      <c r="I1088">
        <v>-0.5402684563758381</v>
      </c>
    </row>
    <row r="1089" spans="1:9">
      <c r="A1089" s="1" t="s">
        <v>1101</v>
      </c>
      <c r="B1089">
        <f>HYPERLINK("https://www.suredividend.com/sure-analysis-research-database/","Marinus Pharmaceuticals Inc")</f>
        <v>0</v>
      </c>
      <c r="C1089">
        <v>0.007485029940119001</v>
      </c>
      <c r="D1089">
        <v>0.2348623853211</v>
      </c>
      <c r="E1089">
        <v>-0.243820224719101</v>
      </c>
      <c r="F1089">
        <v>-0.4335016835016831</v>
      </c>
      <c r="G1089">
        <v>-0.421821305841924</v>
      </c>
      <c r="H1089">
        <v>-0.5368203716448721</v>
      </c>
      <c r="I1089">
        <v>-0.734202211690363</v>
      </c>
    </row>
    <row r="1090" spans="1:9">
      <c r="A1090" s="1" t="s">
        <v>1102</v>
      </c>
      <c r="B1090">
        <f>HYPERLINK("https://www.suredividend.com/sure-analysis-research-database/","Mersana Therapeutics Inc")</f>
        <v>0</v>
      </c>
      <c r="C1090">
        <v>-0.124358974358974</v>
      </c>
      <c r="D1090">
        <v>0.264814814814814</v>
      </c>
      <c r="E1090">
        <v>0.5846867749419951</v>
      </c>
      <c r="F1090">
        <v>0.09807073954983901</v>
      </c>
      <c r="G1090">
        <v>-0.228248587570621</v>
      </c>
      <c r="H1090">
        <v>-0.6492039034411911</v>
      </c>
      <c r="I1090">
        <v>-0.6269797924631341</v>
      </c>
    </row>
    <row r="1091" spans="1:9">
      <c r="A1091" s="1" t="s">
        <v>1103</v>
      </c>
      <c r="B1091">
        <f>HYPERLINK("https://www.suredividend.com/sure-analysis-research-database/","Marten Transport, Ltd.")</f>
        <v>0</v>
      </c>
      <c r="C1091">
        <v>0.049161771102458</v>
      </c>
      <c r="D1091">
        <v>0.201010240382019</v>
      </c>
      <c r="E1091">
        <v>0.265750757111154</v>
      </c>
      <c r="F1091">
        <v>0.177951940502247</v>
      </c>
      <c r="G1091">
        <v>0.329569981736676</v>
      </c>
      <c r="H1091">
        <v>0.243988218772913</v>
      </c>
      <c r="I1091">
        <v>0.7146576679970531</v>
      </c>
    </row>
    <row r="1092" spans="1:9">
      <c r="A1092" s="1" t="s">
        <v>1104</v>
      </c>
      <c r="B1092">
        <f>HYPERLINK("https://www.suredividend.com/sure-analysis-research-database/","Midland States Bancorp Inc")</f>
        <v>0</v>
      </c>
      <c r="C1092">
        <v>-0.05310778914240701</v>
      </c>
      <c r="D1092">
        <v>-0.014635144816293</v>
      </c>
      <c r="E1092">
        <v>-0.08774961815859501</v>
      </c>
      <c r="F1092">
        <v>0.001860538682139</v>
      </c>
      <c r="G1092">
        <v>-0.030053433699497</v>
      </c>
      <c r="H1092">
        <v>0.841748857993281</v>
      </c>
      <c r="I1092">
        <v>-0.105656619701563</v>
      </c>
    </row>
    <row r="1093" spans="1:9">
      <c r="A1093" s="1" t="s">
        <v>1105</v>
      </c>
      <c r="B1093">
        <f>HYPERLINK("https://www.suredividend.com/sure-analysis-MSEX/","Middlesex Water Co.")</f>
        <v>0</v>
      </c>
      <c r="C1093">
        <v>-0.139963792713283</v>
      </c>
      <c r="D1093">
        <v>-0.143089702195205</v>
      </c>
      <c r="E1093">
        <v>-0.247731119050682</v>
      </c>
      <c r="F1093">
        <v>-0.362171152279224</v>
      </c>
      <c r="G1093">
        <v>-0.261492482788237</v>
      </c>
      <c r="H1093">
        <v>0.216228108774091</v>
      </c>
      <c r="I1093">
        <v>0.9230380003035971</v>
      </c>
    </row>
    <row r="1094" spans="1:9">
      <c r="A1094" s="1" t="s">
        <v>1106</v>
      </c>
      <c r="B1094">
        <f>HYPERLINK("https://www.suredividend.com/sure-analysis-research-database/","Madison Square Garden Entertainment Corp")</f>
        <v>0</v>
      </c>
      <c r="C1094">
        <v>-0.180977312390924</v>
      </c>
      <c r="D1094">
        <v>-0.08142493638676801</v>
      </c>
      <c r="E1094">
        <v>-0.40239398955813</v>
      </c>
      <c r="F1094">
        <v>-0.332812055729314</v>
      </c>
      <c r="G1094">
        <v>-0.326395866226496</v>
      </c>
      <c r="H1094">
        <v>-0.32445659997121</v>
      </c>
      <c r="I1094">
        <v>-0.469777426279516</v>
      </c>
    </row>
    <row r="1095" spans="1:9">
      <c r="A1095" s="1" t="s">
        <v>1107</v>
      </c>
      <c r="B1095">
        <f>HYPERLINK("https://www.suredividend.com/sure-analysis-research-database/","Microstrategy Inc.")</f>
        <v>0</v>
      </c>
      <c r="C1095">
        <v>-0.157727984120319</v>
      </c>
      <c r="D1095">
        <v>-0.002847071583514</v>
      </c>
      <c r="E1095">
        <v>-0.5131718294943071</v>
      </c>
      <c r="F1095">
        <v>-0.594758397766717</v>
      </c>
      <c r="G1095">
        <v>-0.688707993566773</v>
      </c>
      <c r="H1095">
        <v>0.33946457840102</v>
      </c>
      <c r="I1095">
        <v>0.6671703815640341</v>
      </c>
    </row>
    <row r="1096" spans="1:9">
      <c r="A1096" s="1" t="s">
        <v>1108</v>
      </c>
      <c r="B1096">
        <f>HYPERLINK("https://www.suredividend.com/sure-analysis-research-database/","Matador Resources Co")</f>
        <v>0</v>
      </c>
      <c r="C1096">
        <v>0.053497942386831</v>
      </c>
      <c r="D1096">
        <v>0.31985692957111</v>
      </c>
      <c r="E1096">
        <v>0.108841131075705</v>
      </c>
      <c r="F1096">
        <v>0.6702914310569811</v>
      </c>
      <c r="G1096">
        <v>0.4636272895976211</v>
      </c>
      <c r="H1096">
        <v>5.773308051020296</v>
      </c>
      <c r="I1096">
        <v>1.406071571230527</v>
      </c>
    </row>
    <row r="1097" spans="1:9">
      <c r="A1097" s="1" t="s">
        <v>1109</v>
      </c>
      <c r="B1097">
        <f>HYPERLINK("https://www.suredividend.com/sure-analysis-research-database/","Molecular Templates Inc")</f>
        <v>0</v>
      </c>
      <c r="C1097">
        <v>-0.223047436511739</v>
      </c>
      <c r="D1097">
        <v>-0.321619077502353</v>
      </c>
      <c r="E1097">
        <v>-0.7914469453376201</v>
      </c>
      <c r="F1097">
        <v>-0.8345408163265301</v>
      </c>
      <c r="G1097">
        <v>-0.9034821428571421</v>
      </c>
      <c r="H1097">
        <v>-0.9469664758789861</v>
      </c>
      <c r="I1097">
        <v>-0.9340853658536581</v>
      </c>
    </row>
    <row r="1098" spans="1:9">
      <c r="A1098" s="1" t="s">
        <v>1110</v>
      </c>
      <c r="B1098">
        <f>HYPERLINK("https://www.suredividend.com/sure-analysis-research-database/","Meritage Homes Corp.")</f>
        <v>0</v>
      </c>
      <c r="C1098">
        <v>-0.072189799543263</v>
      </c>
      <c r="D1098">
        <v>-0.105552837573385</v>
      </c>
      <c r="E1098">
        <v>-0.073248004055252</v>
      </c>
      <c r="F1098">
        <v>-0.400868425364574</v>
      </c>
      <c r="G1098">
        <v>-0.255825786099521</v>
      </c>
      <c r="H1098">
        <v>-0.351224272533711</v>
      </c>
      <c r="I1098">
        <v>0.546088794926004</v>
      </c>
    </row>
    <row r="1099" spans="1:9">
      <c r="A1099" s="1" t="s">
        <v>1111</v>
      </c>
      <c r="B1099">
        <f>HYPERLINK("https://www.suredividend.com/sure-analysis-research-database/","Meritor Inc")</f>
        <v>0</v>
      </c>
      <c r="C1099">
        <v>0.006063947078279001</v>
      </c>
      <c r="D1099">
        <v>0.015581524763494</v>
      </c>
      <c r="E1099">
        <v>0.5316827528325641</v>
      </c>
      <c r="F1099">
        <v>0.472962066182405</v>
      </c>
      <c r="G1099">
        <v>0.5323257766582701</v>
      </c>
      <c r="H1099">
        <v>0.604395604395604</v>
      </c>
      <c r="I1099">
        <v>1.005494505494505</v>
      </c>
    </row>
    <row r="1100" spans="1:9">
      <c r="A1100" s="1" t="s">
        <v>1112</v>
      </c>
      <c r="B1100">
        <f>HYPERLINK("https://www.suredividend.com/sure-analysis-research-database/","Materion Corp")</f>
        <v>0</v>
      </c>
      <c r="C1100">
        <v>-0.015859865072789</v>
      </c>
      <c r="D1100">
        <v>0.150990904195753</v>
      </c>
      <c r="E1100">
        <v>0.02996498242928</v>
      </c>
      <c r="F1100">
        <v>-0.090265568056122</v>
      </c>
      <c r="G1100">
        <v>0.186758543519713</v>
      </c>
      <c r="H1100">
        <v>0.46449373253043</v>
      </c>
      <c r="I1100">
        <v>0.995234473044538</v>
      </c>
    </row>
    <row r="1101" spans="1:9">
      <c r="A1101" s="1" t="s">
        <v>1113</v>
      </c>
      <c r="B1101">
        <f>HYPERLINK("https://www.suredividend.com/sure-analysis-research-database/","Matrix Service Co.")</f>
        <v>0</v>
      </c>
      <c r="C1101">
        <v>-0.297909407665505</v>
      </c>
      <c r="D1101">
        <v>-0.153361344537815</v>
      </c>
      <c r="E1101">
        <v>-0.4315937940761631</v>
      </c>
      <c r="F1101">
        <v>-0.464095744680851</v>
      </c>
      <c r="G1101">
        <v>-0.6125</v>
      </c>
      <c r="H1101">
        <v>-0.53517877739331</v>
      </c>
      <c r="I1101">
        <v>-0.7151943462897521</v>
      </c>
    </row>
    <row r="1102" spans="1:9">
      <c r="A1102" s="1" t="s">
        <v>1114</v>
      </c>
      <c r="B1102">
        <f>HYPERLINK("https://www.suredividend.com/sure-analysis-research-database/","MACOM Technology Solutions Holdings Inc")</f>
        <v>0</v>
      </c>
      <c r="C1102">
        <v>-0.052180003502013</v>
      </c>
      <c r="D1102">
        <v>0.150478214665249</v>
      </c>
      <c r="E1102">
        <v>0.05413826679649401</v>
      </c>
      <c r="F1102">
        <v>-0.308684546615581</v>
      </c>
      <c r="G1102">
        <v>-0.175350396099939</v>
      </c>
      <c r="H1102">
        <v>0.4891334250343881</v>
      </c>
      <c r="I1102">
        <v>0.263243873978996</v>
      </c>
    </row>
    <row r="1103" spans="1:9">
      <c r="A1103" s="1" t="s">
        <v>1115</v>
      </c>
      <c r="B1103">
        <f>HYPERLINK("https://www.suredividend.com/sure-analysis-research-database/","Manitowoc Co., Inc.")</f>
        <v>0</v>
      </c>
      <c r="C1103">
        <v>-0.175331294597349</v>
      </c>
      <c r="D1103">
        <v>-0.232447817836812</v>
      </c>
      <c r="E1103">
        <v>-0.378170637970791</v>
      </c>
      <c r="F1103">
        <v>-0.5648197955890261</v>
      </c>
      <c r="G1103">
        <v>-0.614026717557251</v>
      </c>
      <c r="H1103">
        <v>-0.106077348066298</v>
      </c>
      <c r="I1103">
        <v>-0.7836898395721921</v>
      </c>
    </row>
    <row r="1104" spans="1:9">
      <c r="A1104" s="1" t="s">
        <v>1116</v>
      </c>
      <c r="B1104">
        <f>HYPERLINK("https://www.suredividend.com/sure-analysis-research-database/","Minerals Technologies, Inc.")</f>
        <v>0</v>
      </c>
      <c r="C1104">
        <v>-0.177909207161125</v>
      </c>
      <c r="D1104">
        <v>-0.155685211604033</v>
      </c>
      <c r="E1104">
        <v>-0.165721756931906</v>
      </c>
      <c r="F1104">
        <v>-0.295361690583905</v>
      </c>
      <c r="G1104">
        <v>-0.276784835402809</v>
      </c>
      <c r="H1104">
        <v>-0.103041253474995</v>
      </c>
      <c r="I1104">
        <v>-0.27669939778861</v>
      </c>
    </row>
    <row r="1105" spans="1:9">
      <c r="A1105" s="1" t="s">
        <v>1117</v>
      </c>
      <c r="B1105">
        <f>HYPERLINK("https://www.suredividend.com/sure-analysis-research-database/","Murphy Oil Corp.")</f>
        <v>0</v>
      </c>
      <c r="C1105">
        <v>0.067285965352749</v>
      </c>
      <c r="D1105">
        <v>0.478973937911623</v>
      </c>
      <c r="E1105">
        <v>0.018772153081839</v>
      </c>
      <c r="F1105">
        <v>0.6563155064795401</v>
      </c>
      <c r="G1105">
        <v>0.47192232848348</v>
      </c>
      <c r="H1105">
        <v>4.180482098028223</v>
      </c>
      <c r="I1105">
        <v>0.95246296934206</v>
      </c>
    </row>
    <row r="1106" spans="1:9">
      <c r="A1106" s="1" t="s">
        <v>1118</v>
      </c>
      <c r="B1106">
        <f>HYPERLINK("https://www.suredividend.com/sure-analysis-research-database/","Murphy USA Inc")</f>
        <v>0</v>
      </c>
      <c r="C1106">
        <v>-0.06438124200850101</v>
      </c>
      <c r="D1106">
        <v>0.062344983133301</v>
      </c>
      <c r="E1106">
        <v>0.2283265513895</v>
      </c>
      <c r="F1106">
        <v>0.36422705809378</v>
      </c>
      <c r="G1106">
        <v>0.610598516350484</v>
      </c>
      <c r="H1106">
        <v>1.113721231445214</v>
      </c>
      <c r="I1106">
        <v>2.781786689574734</v>
      </c>
    </row>
    <row r="1107" spans="1:9">
      <c r="A1107" s="1" t="s">
        <v>1119</v>
      </c>
      <c r="B1107">
        <f>HYPERLINK("https://www.suredividend.com/sure-analysis-research-database/","MVB Financial Corp.")</f>
        <v>0</v>
      </c>
      <c r="C1107">
        <v>-0.166085578446909</v>
      </c>
      <c r="D1107">
        <v>-0.157721526281585</v>
      </c>
      <c r="E1107">
        <v>-0.373132621406413</v>
      </c>
      <c r="F1107">
        <v>-0.360291382290939</v>
      </c>
      <c r="G1107">
        <v>-0.3927826295674</v>
      </c>
      <c r="H1107">
        <v>0.577801632374018</v>
      </c>
      <c r="I1107">
        <v>0.774896447508668</v>
      </c>
    </row>
    <row r="1108" spans="1:9">
      <c r="A1108" s="1" t="s">
        <v>1120</v>
      </c>
      <c r="B1108">
        <f>HYPERLINK("https://www.suredividend.com/sure-analysis-research-database/","Microvision Inc.")</f>
        <v>0</v>
      </c>
      <c r="C1108">
        <v>-0.303769401330376</v>
      </c>
      <c r="D1108">
        <v>-0.359183673469387</v>
      </c>
      <c r="E1108">
        <v>-0.180156657963446</v>
      </c>
      <c r="F1108">
        <v>-0.373253493013972</v>
      </c>
      <c r="G1108">
        <v>-0.6834677419354831</v>
      </c>
      <c r="H1108">
        <v>0.203065134099617</v>
      </c>
      <c r="I1108">
        <v>0.193916349809885</v>
      </c>
    </row>
    <row r="1109" spans="1:9">
      <c r="A1109" s="1" t="s">
        <v>1121</v>
      </c>
      <c r="B1109">
        <f>HYPERLINK("https://www.suredividend.com/sure-analysis-MWA/","Mueller Water Products Inc")</f>
        <v>0</v>
      </c>
      <c r="C1109">
        <v>-0.07772925764192101</v>
      </c>
      <c r="D1109">
        <v>-0.104477611940298</v>
      </c>
      <c r="E1109">
        <v>-0.170170130839652</v>
      </c>
      <c r="F1109">
        <v>-0.25625946402789</v>
      </c>
      <c r="G1109">
        <v>-0.324587941080531</v>
      </c>
      <c r="H1109">
        <v>0.010661715445131</v>
      </c>
      <c r="I1109">
        <v>-0.08656050239172301</v>
      </c>
    </row>
    <row r="1110" spans="1:9">
      <c r="A1110" s="1" t="s">
        <v>1122</v>
      </c>
      <c r="B1110">
        <f>HYPERLINK("https://www.suredividend.com/sure-analysis-research-database/","MaxCyte Inc")</f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>
      <c r="A1111" s="1" t="s">
        <v>1123</v>
      </c>
      <c r="B1111">
        <f>HYPERLINK("https://www.suredividend.com/sure-analysis-research-database/","MaxLinear Inc")</f>
        <v>0</v>
      </c>
      <c r="C1111">
        <v>-0.128002111375033</v>
      </c>
      <c r="D1111">
        <v>-0.059493310560774</v>
      </c>
      <c r="E1111">
        <v>-0.290682696436238</v>
      </c>
      <c r="F1111">
        <v>-0.5617455896007421</v>
      </c>
      <c r="G1111">
        <v>-0.321002877106452</v>
      </c>
      <c r="H1111">
        <v>0.277648878576952</v>
      </c>
      <c r="I1111">
        <v>0.399407030919102</v>
      </c>
    </row>
    <row r="1112" spans="1:9">
      <c r="A1112" s="1" t="s">
        <v>1124</v>
      </c>
      <c r="B1112">
        <f>HYPERLINK("https://www.suredividend.com/sure-analysis-research-database/","Myers Industries Inc.")</f>
        <v>0</v>
      </c>
      <c r="C1112">
        <v>-0.111101556915834</v>
      </c>
      <c r="D1112">
        <v>-0.249641606329504</v>
      </c>
      <c r="E1112">
        <v>-0.190873602128971</v>
      </c>
      <c r="F1112">
        <v>-0.156445237791661</v>
      </c>
      <c r="G1112">
        <v>-0.164777231847539</v>
      </c>
      <c r="H1112">
        <v>0.191428056906176</v>
      </c>
      <c r="I1112">
        <v>-0.136351057108394</v>
      </c>
    </row>
    <row r="1113" spans="1:9">
      <c r="A1113" s="1" t="s">
        <v>1125</v>
      </c>
      <c r="B1113">
        <f>HYPERLINK("https://www.suredividend.com/sure-analysis-research-database/","Myriad Genetics, Inc.")</f>
        <v>0</v>
      </c>
      <c r="C1113">
        <v>-0.168421052631578</v>
      </c>
      <c r="D1113">
        <v>-0.035605289928789</v>
      </c>
      <c r="E1113">
        <v>-0.194562446898895</v>
      </c>
      <c r="F1113">
        <v>-0.313043478260869</v>
      </c>
      <c r="G1113">
        <v>-0.3860103626943001</v>
      </c>
      <c r="H1113">
        <v>0.392581711347778</v>
      </c>
      <c r="I1113">
        <v>-0.4854816824966071</v>
      </c>
    </row>
    <row r="1114" spans="1:9">
      <c r="A1114" s="1" t="s">
        <v>1126</v>
      </c>
      <c r="B1114">
        <f>HYPERLINK("https://www.suredividend.com/sure-analysis-research-database/","MYR Group Inc")</f>
        <v>0</v>
      </c>
      <c r="C1114">
        <v>-0.06281925877621901</v>
      </c>
      <c r="D1114">
        <v>-0.019556566230812</v>
      </c>
      <c r="E1114">
        <v>-0.025979893821303</v>
      </c>
      <c r="F1114">
        <v>-0.219990954319312</v>
      </c>
      <c r="G1114">
        <v>-0.174674578866768</v>
      </c>
      <c r="H1114">
        <v>1.001160362032954</v>
      </c>
      <c r="I1114">
        <v>1.845874587458745</v>
      </c>
    </row>
    <row r="1115" spans="1:9">
      <c r="A1115" s="1" t="s">
        <v>1127</v>
      </c>
      <c r="B1115">
        <f>HYPERLINK("https://www.suredividend.com/sure-analysis-research-database/","Duckhorn Portfolio Inc (The)")</f>
        <v>0</v>
      </c>
      <c r="C1115">
        <v>-0.211475409836065</v>
      </c>
      <c r="D1115">
        <v>-0.239325250395361</v>
      </c>
      <c r="E1115">
        <v>-0.223776223776223</v>
      </c>
      <c r="F1115">
        <v>-0.3817480719794341</v>
      </c>
      <c r="G1115">
        <v>-0.356378233719892</v>
      </c>
      <c r="H1115">
        <v>-0.160069848661233</v>
      </c>
      <c r="I1115">
        <v>-0.160069848661233</v>
      </c>
    </row>
    <row r="1116" spans="1:9">
      <c r="A1116" s="1" t="s">
        <v>1128</v>
      </c>
      <c r="B1116">
        <f>HYPERLINK("https://www.suredividend.com/sure-analysis-research-database/","Inari Medical Inc")</f>
        <v>0</v>
      </c>
      <c r="C1116">
        <v>-0.06859065614080401</v>
      </c>
      <c r="D1116">
        <v>-0.042697525937749</v>
      </c>
      <c r="E1116">
        <v>-0.215414804317017</v>
      </c>
      <c r="F1116">
        <v>-0.211460501807822</v>
      </c>
      <c r="G1116">
        <v>-0.08002045251182401</v>
      </c>
      <c r="H1116">
        <v>-0.005527152134862</v>
      </c>
      <c r="I1116">
        <v>0.693013408609739</v>
      </c>
    </row>
    <row r="1117" spans="1:9">
      <c r="A1117" s="1" t="s">
        <v>1129</v>
      </c>
      <c r="B1117">
        <f>HYPERLINK("https://www.suredividend.com/sure-analysis-research-database/","Nordic American Tankers Ltd")</f>
        <v>0</v>
      </c>
      <c r="C1117">
        <v>-0.163649181273432</v>
      </c>
      <c r="D1117">
        <v>0.357960457856399</v>
      </c>
      <c r="E1117">
        <v>-0.063374721883298</v>
      </c>
      <c r="F1117">
        <v>0.5813389881853981</v>
      </c>
      <c r="G1117">
        <v>0.07068137998933401</v>
      </c>
      <c r="H1117">
        <v>-0.242644071731182</v>
      </c>
      <c r="I1117">
        <v>-0.361045828437132</v>
      </c>
    </row>
    <row r="1118" spans="1:9">
      <c r="A1118" s="1" t="s">
        <v>1130</v>
      </c>
      <c r="B1118">
        <f>HYPERLINK("https://www.suredividend.com/sure-analysis-research-database/","Nathan`s Famous, Inc.")</f>
        <v>0</v>
      </c>
      <c r="C1118">
        <v>0.01346722715242</v>
      </c>
      <c r="D1118">
        <v>0.206886642205712</v>
      </c>
      <c r="E1118">
        <v>0.293263585774199</v>
      </c>
      <c r="F1118">
        <v>0.141234696900897</v>
      </c>
      <c r="G1118">
        <v>0.078817750318201</v>
      </c>
      <c r="H1118">
        <v>0.332987944849786</v>
      </c>
      <c r="I1118">
        <v>0.03864005884483501</v>
      </c>
    </row>
    <row r="1119" spans="1:9">
      <c r="A1119" s="1" t="s">
        <v>1131</v>
      </c>
      <c r="B1119">
        <f>HYPERLINK("https://www.suredividend.com/sure-analysis-research-database/","Nature`s Sunshine Products, Inc.")</f>
        <v>0</v>
      </c>
      <c r="C1119">
        <v>-0.132762312633832</v>
      </c>
      <c r="D1119">
        <v>-0.221902017291066</v>
      </c>
      <c r="E1119">
        <v>-0.532602423542989</v>
      </c>
      <c r="F1119">
        <v>-0.5621621621621621</v>
      </c>
      <c r="G1119">
        <v>-0.4656992084432711</v>
      </c>
      <c r="H1119">
        <v>-0.295486766458211</v>
      </c>
      <c r="I1119">
        <v>-0.259503044265262</v>
      </c>
    </row>
    <row r="1120" spans="1:9">
      <c r="A1120" s="1" t="s">
        <v>1132</v>
      </c>
      <c r="B1120">
        <f>HYPERLINK("https://www.suredividend.com/sure-analysis-NAVI/","Navient Corp")</f>
        <v>0</v>
      </c>
      <c r="C1120">
        <v>0.016517549896765</v>
      </c>
      <c r="D1120">
        <v>0.012559300189212</v>
      </c>
      <c r="E1120">
        <v>-0.09214400304872401</v>
      </c>
      <c r="F1120">
        <v>-0.28283215747588</v>
      </c>
      <c r="G1120">
        <v>-0.209103078982597</v>
      </c>
      <c r="H1120">
        <v>0.69099547770336</v>
      </c>
      <c r="I1120">
        <v>0.4936240355152851</v>
      </c>
    </row>
    <row r="1121" spans="1:9">
      <c r="A1121" s="1" t="s">
        <v>1133</v>
      </c>
      <c r="B1121">
        <f>HYPERLINK("https://www.suredividend.com/sure-analysis-research-database/","NewAge Inc")</f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>
      <c r="A1122" s="1" t="s">
        <v>1134</v>
      </c>
      <c r="B1122">
        <f>HYPERLINK("https://www.suredividend.com/sure-analysis-research-database/","National Bank Holdings Corp")</f>
        <v>0</v>
      </c>
      <c r="C1122">
        <v>-0.049999999999999</v>
      </c>
      <c r="D1122">
        <v>-0.015960733073762</v>
      </c>
      <c r="E1122">
        <v>-0.018229508196721</v>
      </c>
      <c r="F1122">
        <v>-0.133981786547217</v>
      </c>
      <c r="G1122">
        <v>-0.09774834820212501</v>
      </c>
      <c r="H1122">
        <v>0.312739146140869</v>
      </c>
      <c r="I1122">
        <v>0.133023565558263</v>
      </c>
    </row>
    <row r="1123" spans="1:9">
      <c r="A1123" s="1" t="s">
        <v>1135</v>
      </c>
      <c r="B1123">
        <f>HYPERLINK("https://www.suredividend.com/sure-analysis-research-database/","Nabors Industries Ltd")</f>
        <v>0</v>
      </c>
      <c r="C1123">
        <v>-0.05086973328179301</v>
      </c>
      <c r="D1123">
        <v>0.051383060717649</v>
      </c>
      <c r="E1123">
        <v>-0.24630118484867</v>
      </c>
      <c r="F1123">
        <v>0.513996793686027</v>
      </c>
      <c r="G1123">
        <v>0.107832521205558</v>
      </c>
      <c r="H1123">
        <v>3.339696005655709</v>
      </c>
      <c r="I1123">
        <v>-0.639714776888452</v>
      </c>
    </row>
    <row r="1124" spans="1:9">
      <c r="A1124" s="1" t="s">
        <v>1136</v>
      </c>
      <c r="B1124">
        <f>HYPERLINK("https://www.suredividend.com/sure-analysis-research-database/","NBT Bancorp. Inc.")</f>
        <v>0</v>
      </c>
      <c r="C1124">
        <v>0.024678663239074</v>
      </c>
      <c r="D1124">
        <v>0.05814768407416</v>
      </c>
      <c r="E1124">
        <v>0.139338920457793</v>
      </c>
      <c r="F1124">
        <v>0.05830782260997901</v>
      </c>
      <c r="G1124">
        <v>0.098452906518516</v>
      </c>
      <c r="H1124">
        <v>0.485622705503065</v>
      </c>
      <c r="I1124">
        <v>0.220415786411928</v>
      </c>
    </row>
    <row r="1125" spans="1:9">
      <c r="A1125" s="1" t="s">
        <v>1137</v>
      </c>
      <c r="B1125">
        <f>HYPERLINK("https://www.suredividend.com/sure-analysis-research-database/","Nicolet Bankshares Inc.")</f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>
      <c r="A1126" s="1" t="s">
        <v>1138</v>
      </c>
      <c r="B1126">
        <f>HYPERLINK("https://www.suredividend.com/sure-analysis-research-database/","National Cinemedia Inc")</f>
        <v>0</v>
      </c>
      <c r="C1126">
        <v>-0.5139252336448591</v>
      </c>
      <c r="D1126">
        <v>-0.4566443794400331</v>
      </c>
      <c r="E1126">
        <v>-0.770456350957719</v>
      </c>
      <c r="F1126">
        <v>-0.8033276611835881</v>
      </c>
      <c r="G1126">
        <v>-0.851281024819855</v>
      </c>
      <c r="H1126">
        <v>-0.765931593159315</v>
      </c>
      <c r="I1126">
        <v>-0.8837453618847511</v>
      </c>
    </row>
    <row r="1127" spans="1:9">
      <c r="A1127" s="1" t="s">
        <v>1139</v>
      </c>
      <c r="B1127">
        <f>HYPERLINK("https://www.suredividend.com/sure-analysis-research-database/","Noodles &amp; Company")</f>
        <v>0</v>
      </c>
      <c r="C1127">
        <v>-0.025691699604743</v>
      </c>
      <c r="D1127">
        <v>-0.04642166344294001</v>
      </c>
      <c r="E1127">
        <v>-0.055555555555555</v>
      </c>
      <c r="F1127">
        <v>-0.456449834619625</v>
      </c>
      <c r="G1127">
        <v>-0.621932515337423</v>
      </c>
      <c r="H1127">
        <v>-0.406738868832731</v>
      </c>
      <c r="I1127">
        <v>0.032460732984292</v>
      </c>
    </row>
    <row r="1128" spans="1:9">
      <c r="A1128" s="1" t="s">
        <v>1140</v>
      </c>
      <c r="B1128">
        <f>HYPERLINK("https://www.suredividend.com/sure-analysis-research-database/","Neogenomics Inc.")</f>
        <v>0</v>
      </c>
      <c r="C1128">
        <v>-0.2688995215311</v>
      </c>
      <c r="D1128">
        <v>-0.145413870246085</v>
      </c>
      <c r="E1128">
        <v>-0.442742523705324</v>
      </c>
      <c r="F1128">
        <v>-0.7760844079718641</v>
      </c>
      <c r="G1128">
        <v>-0.8170498084291181</v>
      </c>
      <c r="H1128">
        <v>-0.8109846610588811</v>
      </c>
      <c r="I1128">
        <v>-0.314183123877917</v>
      </c>
    </row>
    <row r="1129" spans="1:9">
      <c r="A1129" s="1" t="s">
        <v>1141</v>
      </c>
      <c r="B1129">
        <f>HYPERLINK("https://www.suredividend.com/sure-analysis-research-database/","Neogen Corp.")</f>
        <v>0</v>
      </c>
      <c r="C1129">
        <v>-0.343986998916576</v>
      </c>
      <c r="D1129">
        <v>-0.482257374946558</v>
      </c>
      <c r="E1129">
        <v>-0.61371610845295</v>
      </c>
      <c r="F1129">
        <v>-0.7333186522792331</v>
      </c>
      <c r="G1129">
        <v>-0.707629164654756</v>
      </c>
      <c r="H1129">
        <v>-0.66267409470752</v>
      </c>
      <c r="I1129">
        <v>-0.588463381396913</v>
      </c>
    </row>
    <row r="1130" spans="1:9">
      <c r="A1130" s="1" t="s">
        <v>1142</v>
      </c>
      <c r="B1130">
        <f>HYPERLINK("https://www.suredividend.com/sure-analysis-research-database/","National Energy Services Reunited Corp")</f>
        <v>0</v>
      </c>
      <c r="C1130">
        <v>-0.162083936324167</v>
      </c>
      <c r="D1130">
        <v>-0.08818897637795201</v>
      </c>
      <c r="E1130">
        <v>-0.311533888228299</v>
      </c>
      <c r="F1130">
        <v>-0.387301587301587</v>
      </c>
      <c r="G1130">
        <v>-0.5292682926829261</v>
      </c>
      <c r="H1130">
        <v>-0.205761316872427</v>
      </c>
      <c r="I1130">
        <v>-0.4024767801857581</v>
      </c>
    </row>
    <row r="1131" spans="1:9">
      <c r="A1131" s="1" t="s">
        <v>1143</v>
      </c>
      <c r="B1131">
        <f>HYPERLINK("https://www.suredividend.com/sure-analysis-research-database/","NexTier Oilfield Solutions Inc")</f>
        <v>0</v>
      </c>
      <c r="C1131">
        <v>-0.05763073639274201</v>
      </c>
      <c r="D1131">
        <v>0.07160194174757201</v>
      </c>
      <c r="E1131">
        <v>-0.156638013371537</v>
      </c>
      <c r="F1131">
        <v>1.487323943661972</v>
      </c>
      <c r="G1131">
        <v>0.831950207468879</v>
      </c>
      <c r="H1131">
        <v>3.126168224299065</v>
      </c>
      <c r="I1131">
        <v>-0.455945779420825</v>
      </c>
    </row>
    <row r="1132" spans="1:9">
      <c r="A1132" s="1" t="s">
        <v>1144</v>
      </c>
      <c r="B1132">
        <f>HYPERLINK("https://www.suredividend.com/sure-analysis-research-database/","Neximmune Inc")</f>
        <v>0</v>
      </c>
      <c r="C1132">
        <v>-0.336633663366336</v>
      </c>
      <c r="D1132">
        <v>-0.614942528735632</v>
      </c>
      <c r="E1132">
        <v>-0.8373786407766991</v>
      </c>
      <c r="F1132">
        <v>-0.8546637744034701</v>
      </c>
      <c r="G1132">
        <v>-0.952633439377872</v>
      </c>
      <c r="H1132">
        <v>-0.9735491512041051</v>
      </c>
      <c r="I1132">
        <v>-0.9735491512041051</v>
      </c>
    </row>
    <row r="1133" spans="1:9">
      <c r="A1133" s="1" t="s">
        <v>1145</v>
      </c>
      <c r="B1133">
        <f>HYPERLINK("https://www.suredividend.com/sure-analysis-research-database/","Northfield Bancorp Inc")</f>
        <v>0</v>
      </c>
      <c r="C1133">
        <v>-0.017006802721088</v>
      </c>
      <c r="D1133">
        <v>0.10273355820449</v>
      </c>
      <c r="E1133">
        <v>0.08587832151015901</v>
      </c>
      <c r="F1133">
        <v>-0.08106939356939301</v>
      </c>
      <c r="G1133">
        <v>-0.151671705756303</v>
      </c>
      <c r="H1133">
        <v>0.5047694422460111</v>
      </c>
      <c r="I1133">
        <v>-0.031527304897992</v>
      </c>
    </row>
    <row r="1134" spans="1:9">
      <c r="A1134" s="1" t="s">
        <v>1146</v>
      </c>
      <c r="B1134">
        <f>HYPERLINK("https://www.suredividend.com/sure-analysis-research-database/","Novagold Resources Inc.")</f>
        <v>0</v>
      </c>
      <c r="C1134">
        <v>-0.013100436681222</v>
      </c>
      <c r="D1134">
        <v>0.011185682326621</v>
      </c>
      <c r="E1134">
        <v>-0.428571428571428</v>
      </c>
      <c r="F1134">
        <v>-0.341107871720116</v>
      </c>
      <c r="G1134">
        <v>-0.381668946648426</v>
      </c>
      <c r="H1134">
        <v>-0.603508771929824</v>
      </c>
      <c r="I1134">
        <v>0.07875894988066801</v>
      </c>
    </row>
    <row r="1135" spans="1:9">
      <c r="A1135" s="1" t="s">
        <v>1147</v>
      </c>
      <c r="B1135">
        <f>HYPERLINK("https://www.suredividend.com/sure-analysis-research-database/","Ngm Biopharmaceuticals Inc")</f>
        <v>0</v>
      </c>
      <c r="C1135">
        <v>-0.27076923076923</v>
      </c>
      <c r="D1135">
        <v>-0.247141041931385</v>
      </c>
      <c r="E1135">
        <v>-0.249049429657794</v>
      </c>
      <c r="F1135">
        <v>-0.330886504799548</v>
      </c>
      <c r="G1135">
        <v>-0.415392205229403</v>
      </c>
      <c r="H1135">
        <v>-0.316608996539792</v>
      </c>
      <c r="I1135">
        <v>-0.193877551020408</v>
      </c>
    </row>
    <row r="1136" spans="1:9">
      <c r="A1136" s="1" t="s">
        <v>1148</v>
      </c>
      <c r="B1136">
        <f>HYPERLINK("https://www.suredividend.com/sure-analysis-research-database/","NeoGames SA")</f>
        <v>0</v>
      </c>
      <c r="C1136">
        <v>-0.140635126377187</v>
      </c>
      <c r="D1136">
        <v>0.035937499999999</v>
      </c>
      <c r="E1136">
        <v>0.013761467889908</v>
      </c>
      <c r="F1136">
        <v>-0.52267818574514</v>
      </c>
      <c r="G1136">
        <v>-0.635614179719703</v>
      </c>
      <c r="H1136">
        <v>-0.393689986282578</v>
      </c>
      <c r="I1136">
        <v>-0.393689986282578</v>
      </c>
    </row>
    <row r="1137" spans="1:9">
      <c r="A1137" s="1" t="s">
        <v>1149</v>
      </c>
      <c r="B1137">
        <f>HYPERLINK("https://www.suredividend.com/sure-analysis-research-database/","Natural Grocers by Vitamin Cottage Inc")</f>
        <v>0</v>
      </c>
      <c r="C1137">
        <v>-0.243321299638989</v>
      </c>
      <c r="D1137">
        <v>-0.350609113779727</v>
      </c>
      <c r="E1137">
        <v>-0.5003670966942221</v>
      </c>
      <c r="F1137">
        <v>-0.250856011380126</v>
      </c>
      <c r="G1137">
        <v>-0.05944015149475401</v>
      </c>
      <c r="H1137">
        <v>-0.08137058106816901</v>
      </c>
      <c r="I1137">
        <v>0.9705915535331501</v>
      </c>
    </row>
    <row r="1138" spans="1:9">
      <c r="A1138" s="1" t="s">
        <v>1150</v>
      </c>
      <c r="B1138">
        <f>HYPERLINK("https://www.suredividend.com/sure-analysis-research-database/","Ingevity Corp")</f>
        <v>0</v>
      </c>
      <c r="C1138">
        <v>-0.116626368937562</v>
      </c>
      <c r="D1138">
        <v>-0.024807662113361</v>
      </c>
      <c r="E1138">
        <v>-0.004328310355883</v>
      </c>
      <c r="F1138">
        <v>-0.133751743375174</v>
      </c>
      <c r="G1138">
        <v>-0.176041390289201</v>
      </c>
      <c r="H1138">
        <v>0.04615125484251301</v>
      </c>
      <c r="I1138">
        <v>-0.078896633545899</v>
      </c>
    </row>
    <row r="1139" spans="1:9">
      <c r="A1139" s="1" t="s">
        <v>1151</v>
      </c>
      <c r="B1139">
        <f>HYPERLINK("https://www.suredividend.com/sure-analysis-research-database/","NantHealth Inc")</f>
        <v>0</v>
      </c>
      <c r="C1139">
        <v>-0.486168590720975</v>
      </c>
      <c r="D1139">
        <v>-0.476359600443951</v>
      </c>
      <c r="E1139">
        <v>-0.6805687203791471</v>
      </c>
      <c r="F1139">
        <v>-0.776398104265402</v>
      </c>
      <c r="G1139">
        <v>-0.8620467836257311</v>
      </c>
      <c r="H1139">
        <v>-0.9029218106995881</v>
      </c>
      <c r="I1139">
        <v>-0.9413184079601991</v>
      </c>
    </row>
    <row r="1140" spans="1:9">
      <c r="A1140" s="1" t="s">
        <v>1152</v>
      </c>
      <c r="B1140">
        <f>HYPERLINK("https://www.suredividend.com/sure-analysis-research-database/","National Healthcare Corp.")</f>
        <v>0</v>
      </c>
      <c r="C1140">
        <v>-0.11433114477655</v>
      </c>
      <c r="D1140">
        <v>-0.103736080364319</v>
      </c>
      <c r="E1140">
        <v>-0.127120971463679</v>
      </c>
      <c r="F1140">
        <v>-0.07011395100529001</v>
      </c>
      <c r="G1140">
        <v>-0.061553049039408</v>
      </c>
      <c r="H1140">
        <v>0.003348835392861</v>
      </c>
      <c r="I1140">
        <v>0.137243908017145</v>
      </c>
    </row>
    <row r="1141" spans="1:9">
      <c r="A1141" s="1" t="s">
        <v>1153</v>
      </c>
      <c r="B1141">
        <f>HYPERLINK("https://www.suredividend.com/sure-analysis-NHI/","National Health Investors, Inc.")</f>
        <v>0</v>
      </c>
      <c r="C1141">
        <v>-0.214481556291136</v>
      </c>
      <c r="D1141">
        <v>-0.140969088997214</v>
      </c>
      <c r="E1141">
        <v>-0.05682300215783501</v>
      </c>
      <c r="F1141">
        <v>-0.06880195198339301</v>
      </c>
      <c r="G1141">
        <v>0.035300214793415</v>
      </c>
      <c r="H1141">
        <v>-0.055253099431193</v>
      </c>
      <c r="I1141">
        <v>-0.106119081578432</v>
      </c>
    </row>
    <row r="1142" spans="1:9">
      <c r="A1142" s="1" t="s">
        <v>1154</v>
      </c>
      <c r="B1142">
        <f>HYPERLINK("https://www.suredividend.com/sure-analysis-NJR/","New Jersey Resources Corporation")</f>
        <v>0</v>
      </c>
      <c r="C1142">
        <v>-0.105208606216613</v>
      </c>
      <c r="D1142">
        <v>-0.09312757857213701</v>
      </c>
      <c r="E1142">
        <v>-0.134517716166759</v>
      </c>
      <c r="F1142">
        <v>-0.018635433556772</v>
      </c>
      <c r="G1142">
        <v>0.09899333553430401</v>
      </c>
      <c r="H1142">
        <v>0.460825842633949</v>
      </c>
      <c r="I1142">
        <v>0.06427367656701201</v>
      </c>
    </row>
    <row r="1143" spans="1:9">
      <c r="A1143" s="1" t="s">
        <v>1155</v>
      </c>
      <c r="B1143">
        <f>HYPERLINK("https://www.suredividend.com/sure-analysis-research-database/","Nikola Corporation")</f>
        <v>0</v>
      </c>
      <c r="C1143">
        <v>-0.4464944649446491</v>
      </c>
      <c r="D1143">
        <v>-0.453551912568306</v>
      </c>
      <c r="E1143">
        <v>-0.644128113879003</v>
      </c>
      <c r="F1143">
        <v>-0.6960486322188441</v>
      </c>
      <c r="G1143">
        <v>-0.719101123595505</v>
      </c>
      <c r="H1143">
        <v>-0.878345498783455</v>
      </c>
      <c r="I1143">
        <v>-0.6868475991649271</v>
      </c>
    </row>
    <row r="1144" spans="1:9">
      <c r="A1144" s="1" t="s">
        <v>1156</v>
      </c>
      <c r="B1144">
        <f>HYPERLINK("https://www.suredividend.com/sure-analysis-research-database/","Nkarta Inc")</f>
        <v>0</v>
      </c>
      <c r="C1144">
        <v>-0.074606433949349</v>
      </c>
      <c r="D1144">
        <v>-0.065653075328265</v>
      </c>
      <c r="E1144">
        <v>0.203918076580587</v>
      </c>
      <c r="F1144">
        <v>-0.119218241042345</v>
      </c>
      <c r="G1144">
        <v>-0.253038674033149</v>
      </c>
      <c r="H1144">
        <v>-0.536986301369863</v>
      </c>
      <c r="I1144">
        <v>-0.7177453027139871</v>
      </c>
    </row>
    <row r="1145" spans="1:9">
      <c r="A1145" s="1" t="s">
        <v>1157</v>
      </c>
      <c r="B1145">
        <f>HYPERLINK("https://www.suredividend.com/sure-analysis-research-database/","NL Industries, Inc.")</f>
        <v>0</v>
      </c>
      <c r="C1145">
        <v>-0.118192352259559</v>
      </c>
      <c r="D1145">
        <v>-0.124351318075644</v>
      </c>
      <c r="E1145">
        <v>0.135888709773717</v>
      </c>
      <c r="F1145">
        <v>0.092166824535721</v>
      </c>
      <c r="G1145">
        <v>0.285299283880556</v>
      </c>
      <c r="H1145">
        <v>0.7298206532857501</v>
      </c>
      <c r="I1145">
        <v>-0.113879832324173</v>
      </c>
    </row>
    <row r="1146" spans="1:9">
      <c r="A1146" s="1" t="s">
        <v>1158</v>
      </c>
      <c r="B1146">
        <f>HYPERLINK("https://www.suredividend.com/sure-analysis-research-database/","Nautilus Inc")</f>
        <v>0</v>
      </c>
      <c r="C1146">
        <v>-0.268867924528301</v>
      </c>
      <c r="D1146">
        <v>-0.236453201970443</v>
      </c>
      <c r="E1146">
        <v>-0.5963541666666661</v>
      </c>
      <c r="F1146">
        <v>-0.747145187601957</v>
      </c>
      <c r="G1146">
        <v>-0.832974137931034</v>
      </c>
      <c r="H1146">
        <v>-0.9298642533936651</v>
      </c>
      <c r="I1146">
        <v>-0.9090909090909091</v>
      </c>
    </row>
    <row r="1147" spans="1:9">
      <c r="A1147" s="1" t="s">
        <v>1159</v>
      </c>
      <c r="B1147">
        <f>HYPERLINK("https://www.suredividend.com/sure-analysis-research-database/","Neoleukin Therapeutics Inc")</f>
        <v>0</v>
      </c>
      <c r="C1147">
        <v>-0.4752293577981651</v>
      </c>
      <c r="D1147">
        <v>-0.4846846846846841</v>
      </c>
      <c r="E1147">
        <v>-0.678651685393258</v>
      </c>
      <c r="F1147">
        <v>-0.8813278008298751</v>
      </c>
      <c r="G1147">
        <v>-0.9138554216867461</v>
      </c>
      <c r="H1147">
        <v>-0.9576296296296291</v>
      </c>
      <c r="I1147">
        <v>-0.959288256227758</v>
      </c>
    </row>
    <row r="1148" spans="1:9">
      <c r="A1148" s="1" t="s">
        <v>1160</v>
      </c>
      <c r="B1148">
        <f>HYPERLINK("https://www.suredividend.com/sure-analysis-research-database/","NMI Holdings Inc")</f>
        <v>0</v>
      </c>
      <c r="C1148">
        <v>0.021161417322834</v>
      </c>
      <c r="D1148">
        <v>0.221306650971159</v>
      </c>
      <c r="E1148">
        <v>0.100795755968169</v>
      </c>
      <c r="F1148">
        <v>-0.05034324942791701</v>
      </c>
      <c r="G1148">
        <v>-0.110205831903945</v>
      </c>
      <c r="H1148">
        <v>-0.087912087912087</v>
      </c>
      <c r="I1148">
        <v>0.693877551020408</v>
      </c>
    </row>
    <row r="1149" spans="1:9">
      <c r="A1149" s="1" t="s">
        <v>1161</v>
      </c>
      <c r="B1149">
        <f>HYPERLINK("https://www.suredividend.com/sure-analysis-research-database/","Newmark Group Inc")</f>
        <v>0</v>
      </c>
      <c r="C1149">
        <v>-0.195402298850574</v>
      </c>
      <c r="D1149">
        <v>-0.145725065850359</v>
      </c>
      <c r="E1149">
        <v>-0.375283539464974</v>
      </c>
      <c r="F1149">
        <v>-0.5480809580683681</v>
      </c>
      <c r="G1149">
        <v>-0.4078502143018271</v>
      </c>
      <c r="H1149">
        <v>0.7013691971157741</v>
      </c>
      <c r="I1149">
        <v>-0.341579269152988</v>
      </c>
    </row>
    <row r="1150" spans="1:9">
      <c r="A1150" s="1" t="s">
        <v>1162</v>
      </c>
      <c r="B1150">
        <f>HYPERLINK("https://www.suredividend.com/sure-analysis-research-database/","9 Meters Biopharma Inc")</f>
        <v>0</v>
      </c>
      <c r="C1150">
        <v>-0.156355455568053</v>
      </c>
      <c r="D1150">
        <v>-0.040102389078498</v>
      </c>
      <c r="E1150">
        <v>-0.579439252336448</v>
      </c>
      <c r="F1150">
        <v>-0.7701031981199551</v>
      </c>
      <c r="G1150">
        <v>-0.830827067669172</v>
      </c>
      <c r="H1150">
        <v>-0.7290462427745661</v>
      </c>
      <c r="I1150">
        <v>-0.6475011749960831</v>
      </c>
    </row>
    <row r="1151" spans="1:9">
      <c r="A1151" s="1" t="s">
        <v>1163</v>
      </c>
      <c r="B1151">
        <f>HYPERLINK("https://www.suredividend.com/sure-analysis-research-database/","NN Inc")</f>
        <v>0</v>
      </c>
      <c r="C1151">
        <v>-0.214285714285714</v>
      </c>
      <c r="D1151">
        <v>-0.3125</v>
      </c>
      <c r="E1151">
        <v>-0.3125</v>
      </c>
      <c r="F1151">
        <v>-0.570731707317073</v>
      </c>
      <c r="G1151">
        <v>-0.6333333333333331</v>
      </c>
      <c r="H1151">
        <v>-0.7241379310344821</v>
      </c>
      <c r="I1151">
        <v>-0.9375696134282081</v>
      </c>
    </row>
    <row r="1152" spans="1:9">
      <c r="A1152" s="1" t="s">
        <v>1164</v>
      </c>
      <c r="B1152">
        <f>HYPERLINK("https://www.suredividend.com/sure-analysis-research-database/","Nelnet Inc")</f>
        <v>0</v>
      </c>
      <c r="C1152">
        <v>-0.016727716727716</v>
      </c>
      <c r="D1152">
        <v>-0.062013345897283</v>
      </c>
      <c r="E1152">
        <v>-0.04583386158252</v>
      </c>
      <c r="F1152">
        <v>-0.170767521436169</v>
      </c>
      <c r="G1152">
        <v>-0.021530460985152</v>
      </c>
      <c r="H1152">
        <v>0.240063935743961</v>
      </c>
      <c r="I1152">
        <v>0.6824718317068531</v>
      </c>
    </row>
    <row r="1153" spans="1:9">
      <c r="A1153" s="1" t="s">
        <v>1165</v>
      </c>
      <c r="B1153">
        <f>HYPERLINK("https://www.suredividend.com/sure-analysis-research-database/","NI Holdings Inc")</f>
        <v>0</v>
      </c>
      <c r="C1153">
        <v>0.038431975403535</v>
      </c>
      <c r="D1153">
        <v>-0.223563218390804</v>
      </c>
      <c r="E1153">
        <v>-0.217265353418308</v>
      </c>
      <c r="F1153">
        <v>-0.285563194077207</v>
      </c>
      <c r="G1153">
        <v>-0.283289124668435</v>
      </c>
      <c r="H1153">
        <v>-0.209941520467836</v>
      </c>
      <c r="I1153">
        <v>-0.263760217983651</v>
      </c>
    </row>
    <row r="1154" spans="1:9">
      <c r="A1154" s="1" t="s">
        <v>1166</v>
      </c>
      <c r="B1154">
        <f>HYPERLINK("https://www.suredividend.com/sure-analysis-research-database/","Northern Oil and Gas Inc.")</f>
        <v>0</v>
      </c>
      <c r="C1154">
        <v>0.05499409962153901</v>
      </c>
      <c r="D1154">
        <v>0.365922299378861</v>
      </c>
      <c r="E1154">
        <v>0.162630003011994</v>
      </c>
      <c r="F1154">
        <v>0.629492776296119</v>
      </c>
      <c r="G1154">
        <v>0.294801063938942</v>
      </c>
      <c r="H1154">
        <v>4.717522000522785</v>
      </c>
      <c r="I1154">
        <v>2.928682616088321</v>
      </c>
    </row>
    <row r="1155" spans="1:9">
      <c r="A1155" s="1" t="s">
        <v>1167</v>
      </c>
      <c r="B1155">
        <f>HYPERLINK("https://www.suredividend.com/sure-analysis-research-database/","Inotiv Inc")</f>
        <v>0</v>
      </c>
      <c r="C1155">
        <v>-0.126344086021505</v>
      </c>
      <c r="D1155">
        <v>0.728723404255319</v>
      </c>
      <c r="E1155">
        <v>-0.226190476190476</v>
      </c>
      <c r="F1155">
        <v>-0.53648680770145</v>
      </c>
      <c r="G1155">
        <v>-0.419642857142857</v>
      </c>
      <c r="H1155">
        <v>2.75</v>
      </c>
      <c r="I1155">
        <v>9.774075915796452</v>
      </c>
    </row>
    <row r="1156" spans="1:9">
      <c r="A1156" s="1" t="s">
        <v>1168</v>
      </c>
      <c r="B1156">
        <f>HYPERLINK("https://www.suredividend.com/sure-analysis-research-database/","Sunnova Energy International Inc")</f>
        <v>0</v>
      </c>
      <c r="C1156">
        <v>-0.264130821187344</v>
      </c>
      <c r="D1156">
        <v>-0.04520295202952</v>
      </c>
      <c r="E1156">
        <v>-0.055225924235508</v>
      </c>
      <c r="F1156">
        <v>-0.258595988538682</v>
      </c>
      <c r="G1156">
        <v>-0.38847858197932</v>
      </c>
      <c r="H1156">
        <v>-0.294959128065395</v>
      </c>
      <c r="I1156">
        <v>0.8399999999999991</v>
      </c>
    </row>
    <row r="1157" spans="1:9">
      <c r="A1157" s="1" t="s">
        <v>1169</v>
      </c>
      <c r="B1157">
        <f>HYPERLINK("https://www.suredividend.com/sure-analysis-research-database/","Novanta Inc")</f>
        <v>0</v>
      </c>
      <c r="C1157">
        <v>-0.152693277934411</v>
      </c>
      <c r="D1157">
        <v>-0.105366235801018</v>
      </c>
      <c r="E1157">
        <v>-0.14296435272045</v>
      </c>
      <c r="F1157">
        <v>-0.352350706062496</v>
      </c>
      <c r="G1157">
        <v>-0.2925726321006</v>
      </c>
      <c r="H1157">
        <v>-0.010141284562711</v>
      </c>
      <c r="I1157">
        <v>1.569178852643419</v>
      </c>
    </row>
    <row r="1158" spans="1:9">
      <c r="A1158" s="1" t="s">
        <v>1170</v>
      </c>
      <c r="B1158">
        <f>HYPERLINK("https://www.suredividend.com/sure-analysis-research-database/","Neenah Inc")</f>
        <v>0</v>
      </c>
      <c r="C1158">
        <v>-0.160765801206399</v>
      </c>
      <c r="D1158">
        <v>-0.207023786808345</v>
      </c>
      <c r="E1158">
        <v>-0.308257674016428</v>
      </c>
      <c r="F1158">
        <v>-0.292861436198423</v>
      </c>
      <c r="G1158">
        <v>-0.331461425324241</v>
      </c>
      <c r="H1158">
        <v>-0.299431663937369</v>
      </c>
      <c r="I1158">
        <v>-0.528915740691669</v>
      </c>
    </row>
    <row r="1159" spans="1:9">
      <c r="A1159" s="1" t="s">
        <v>1171</v>
      </c>
      <c r="B1159">
        <f>HYPERLINK("https://www.suredividend.com/sure-analysis-research-database/","NeuroPace Inc")</f>
        <v>0</v>
      </c>
      <c r="C1159">
        <v>-0.258992805755395</v>
      </c>
      <c r="D1159">
        <v>-0.4653979238754321</v>
      </c>
      <c r="E1159">
        <v>-0.616149068322981</v>
      </c>
      <c r="F1159">
        <v>-0.69345238095238</v>
      </c>
      <c r="G1159">
        <v>-0.8149700598802391</v>
      </c>
      <c r="H1159">
        <v>-0.876201923076923</v>
      </c>
      <c r="I1159">
        <v>-0.876201923076923</v>
      </c>
    </row>
    <row r="1160" spans="1:9">
      <c r="A1160" s="1" t="s">
        <v>1172</v>
      </c>
      <c r="B1160">
        <f>HYPERLINK("https://www.suredividend.com/sure-analysis-research-database/","National Presto Industries, Inc.")</f>
        <v>0</v>
      </c>
      <c r="C1160">
        <v>-0.023616125150421</v>
      </c>
      <c r="D1160">
        <v>-0.017854440913905</v>
      </c>
      <c r="E1160">
        <v>-0.160827407886231</v>
      </c>
      <c r="F1160">
        <v>-0.199112620237983</v>
      </c>
      <c r="G1160">
        <v>-0.20809111039266</v>
      </c>
      <c r="H1160">
        <v>-0.210267615983959</v>
      </c>
      <c r="I1160">
        <v>-0.316646207812825</v>
      </c>
    </row>
    <row r="1161" spans="1:9">
      <c r="A1161" s="1" t="s">
        <v>1173</v>
      </c>
      <c r="B1161">
        <f>HYPERLINK("https://www.suredividend.com/sure-analysis-research-database/","EnPro Industries Inc")</f>
        <v>0</v>
      </c>
      <c r="C1161">
        <v>-0.029611013986013</v>
      </c>
      <c r="D1161">
        <v>0.119973769334081</v>
      </c>
      <c r="E1161">
        <v>-0.056846228022106</v>
      </c>
      <c r="F1161">
        <v>-0.188717129843626</v>
      </c>
      <c r="G1161">
        <v>0.009003891271622001</v>
      </c>
      <c r="H1161">
        <v>0.5081017378575821</v>
      </c>
      <c r="I1161">
        <v>0.148739891451129</v>
      </c>
    </row>
    <row r="1162" spans="1:9">
      <c r="A1162" s="1" t="s">
        <v>1174</v>
      </c>
      <c r="B1162">
        <f>HYPERLINK("https://www.suredividend.com/sure-analysis-research-database/","NeoPhotonics Corporation")</f>
        <v>0</v>
      </c>
      <c r="C1162">
        <v>0.019745222929936</v>
      </c>
      <c r="D1162">
        <v>0.056068601583113</v>
      </c>
      <c r="E1162">
        <v>0.04983606557377</v>
      </c>
      <c r="F1162">
        <v>0.0416395575797</v>
      </c>
      <c r="G1162">
        <v>0.7535596933187291</v>
      </c>
      <c r="H1162">
        <v>0.7574094401756311</v>
      </c>
      <c r="I1162">
        <v>1.090078328981723</v>
      </c>
    </row>
    <row r="1163" spans="1:9">
      <c r="A1163" s="1" t="s">
        <v>1175</v>
      </c>
      <c r="B1163">
        <f>HYPERLINK("https://www.suredividend.com/sure-analysis-research-database/","Newpark Resources, Inc.")</f>
        <v>0</v>
      </c>
      <c r="C1163">
        <v>-0.046822742474916</v>
      </c>
      <c r="D1163">
        <v>-0.09810126582278401</v>
      </c>
      <c r="E1163">
        <v>-0.227642276422764</v>
      </c>
      <c r="F1163">
        <v>-0.030612244897959</v>
      </c>
      <c r="G1163">
        <v>-0.223433242506812</v>
      </c>
      <c r="H1163">
        <v>2.144654088050314</v>
      </c>
      <c r="I1163">
        <v>-0.7076923076923071</v>
      </c>
    </row>
    <row r="1164" spans="1:9">
      <c r="A1164" s="1" t="s">
        <v>1176</v>
      </c>
      <c r="B1164">
        <f>HYPERLINK("https://www.suredividend.com/sure-analysis-research-database/","National Research Corp")</f>
        <v>0</v>
      </c>
      <c r="C1164">
        <v>0.08873237881815201</v>
      </c>
      <c r="D1164">
        <v>0.055151385471274</v>
      </c>
      <c r="E1164">
        <v>0.008275784512679001</v>
      </c>
      <c r="F1164">
        <v>-0.032504892655865</v>
      </c>
      <c r="G1164">
        <v>-0.05745577568164201</v>
      </c>
      <c r="H1164">
        <v>-0.232906651836843</v>
      </c>
      <c r="I1164">
        <v>0.05991402471789301</v>
      </c>
    </row>
    <row r="1165" spans="1:9">
      <c r="A1165" s="1" t="s">
        <v>1177</v>
      </c>
      <c r="B1165">
        <f>HYPERLINK("https://www.suredividend.com/sure-analysis-research-database/","Northrim Bancorp, Inc.")</f>
        <v>0</v>
      </c>
      <c r="C1165">
        <v>0.027582869586257</v>
      </c>
      <c r="D1165">
        <v>0.05845555707859201</v>
      </c>
      <c r="E1165">
        <v>0.038988362449634</v>
      </c>
      <c r="F1165">
        <v>0.008197091017858</v>
      </c>
      <c r="G1165">
        <v>0.001754899093302</v>
      </c>
      <c r="H1165">
        <v>0.562580483748721</v>
      </c>
      <c r="I1165">
        <v>0.419883721318983</v>
      </c>
    </row>
    <row r="1166" spans="1:9">
      <c r="A1166" s="1" t="s">
        <v>1178</v>
      </c>
      <c r="B1166">
        <f>HYPERLINK("https://www.suredividend.com/sure-analysis-research-database/","Nurix Therapeutics Inc")</f>
        <v>0</v>
      </c>
      <c r="C1166">
        <v>-0.3074984247006931</v>
      </c>
      <c r="D1166">
        <v>-0.379446640316205</v>
      </c>
      <c r="E1166">
        <v>-0.258434547908232</v>
      </c>
      <c r="F1166">
        <v>-0.620379965457685</v>
      </c>
      <c r="G1166">
        <v>-0.6012336719883891</v>
      </c>
      <c r="H1166">
        <v>-0.549774682507169</v>
      </c>
      <c r="I1166">
        <v>-0.421883219358232</v>
      </c>
    </row>
    <row r="1167" spans="1:9">
      <c r="A1167" s="1" t="s">
        <v>1179</v>
      </c>
      <c r="B1167">
        <f>HYPERLINK("https://www.suredividend.com/sure-analysis-NSA/","National Storage Affiliates Trust")</f>
        <v>0</v>
      </c>
      <c r="C1167">
        <v>-0.226117835252317</v>
      </c>
      <c r="D1167">
        <v>-0.220969337289811</v>
      </c>
      <c r="E1167">
        <v>-0.371767506118008</v>
      </c>
      <c r="F1167">
        <v>-0.412718273290313</v>
      </c>
      <c r="G1167">
        <v>-0.24273308360319</v>
      </c>
      <c r="H1167">
        <v>0.236447896814058</v>
      </c>
      <c r="I1167">
        <v>0.9669936664602101</v>
      </c>
    </row>
    <row r="1168" spans="1:9">
      <c r="A1168" s="1" t="s">
        <v>1180</v>
      </c>
      <c r="B1168">
        <f>HYPERLINK("https://www.suredividend.com/sure-analysis-research-database/","Insight Enterprises Inc.")</f>
        <v>0</v>
      </c>
      <c r="C1168">
        <v>-0.008728034446642</v>
      </c>
      <c r="D1168">
        <v>-0.022155894845597</v>
      </c>
      <c r="E1168">
        <v>-0.152184731760724</v>
      </c>
      <c r="F1168">
        <v>-0.200938086303939</v>
      </c>
      <c r="G1168">
        <v>-0.07170880557977301</v>
      </c>
      <c r="H1168">
        <v>0.39228506047728</v>
      </c>
      <c r="I1168">
        <v>0.9055928411633111</v>
      </c>
    </row>
    <row r="1169" spans="1:9">
      <c r="A1169" s="1" t="s">
        <v>1181</v>
      </c>
      <c r="B1169">
        <f>HYPERLINK("https://www.suredividend.com/sure-analysis-NSP/","Insperity Inc")</f>
        <v>0</v>
      </c>
      <c r="C1169">
        <v>-0.07064879737285801</v>
      </c>
      <c r="D1169">
        <v>0.021604829865867</v>
      </c>
      <c r="E1169">
        <v>0.055479451364381</v>
      </c>
      <c r="F1169">
        <v>-0.09984878559964301</v>
      </c>
      <c r="G1169">
        <v>-0.09412343833403801</v>
      </c>
      <c r="H1169">
        <v>0.5244625945418671</v>
      </c>
      <c r="I1169">
        <v>1.464588168282108</v>
      </c>
    </row>
    <row r="1170" spans="1:9">
      <c r="A1170" s="1" t="s">
        <v>1182</v>
      </c>
      <c r="B1170">
        <f>HYPERLINK("https://www.suredividend.com/sure-analysis-research-database/","NAPCO Security Technologies Inc")</f>
        <v>0</v>
      </c>
      <c r="C1170">
        <v>-0.137286496938446</v>
      </c>
      <c r="D1170">
        <v>0.192427616926503</v>
      </c>
      <c r="E1170">
        <v>0.381320949432404</v>
      </c>
      <c r="F1170">
        <v>0.071228491396558</v>
      </c>
      <c r="G1170">
        <v>0.224611161939615</v>
      </c>
      <c r="H1170">
        <v>1.154527162977867</v>
      </c>
      <c r="I1170">
        <v>4.099047619047619</v>
      </c>
    </row>
    <row r="1171" spans="1:9">
      <c r="A1171" s="1" t="s">
        <v>1183</v>
      </c>
      <c r="B1171">
        <f>HYPERLINK("https://www.suredividend.com/sure-analysis-research-database/","Nanostring Technologies Inc")</f>
        <v>0</v>
      </c>
      <c r="C1171">
        <v>-0.300751879699248</v>
      </c>
      <c r="D1171">
        <v>-0.255006675567423</v>
      </c>
      <c r="E1171">
        <v>-0.672631270167204</v>
      </c>
      <c r="F1171">
        <v>-0.735732891309495</v>
      </c>
      <c r="G1171">
        <v>-0.73516848599905</v>
      </c>
      <c r="H1171">
        <v>-0.7255625230542231</v>
      </c>
      <c r="I1171">
        <v>-0.286445012787723</v>
      </c>
    </row>
    <row r="1172" spans="1:9">
      <c r="A1172" s="1" t="s">
        <v>1184</v>
      </c>
      <c r="B1172">
        <f>HYPERLINK("https://www.suredividend.com/sure-analysis-research-database/","Bank of N T Butterfield &amp; Son Ltd.")</f>
        <v>0</v>
      </c>
      <c r="C1172">
        <v>0.0008973975471130001</v>
      </c>
      <c r="D1172">
        <v>0.05243292548674201</v>
      </c>
      <c r="E1172">
        <v>0.003298350824587</v>
      </c>
      <c r="F1172">
        <v>-0.086698165480684</v>
      </c>
      <c r="G1172">
        <v>-0.05368753588266401</v>
      </c>
      <c r="H1172">
        <v>0.472853885499476</v>
      </c>
      <c r="I1172">
        <v>0.159804088084104</v>
      </c>
    </row>
    <row r="1173" spans="1:9">
      <c r="A1173" s="1" t="s">
        <v>1185</v>
      </c>
      <c r="B1173">
        <f>HYPERLINK("https://www.suredividend.com/sure-analysis-research-database/","Netscout Systems Inc")</f>
        <v>0</v>
      </c>
      <c r="C1173">
        <v>0.0341796875</v>
      </c>
      <c r="D1173">
        <v>-0.03199268738574</v>
      </c>
      <c r="E1173">
        <v>-0.000943396226415</v>
      </c>
      <c r="F1173">
        <v>-0.039600967351874</v>
      </c>
      <c r="G1173">
        <v>0.178412462908011</v>
      </c>
      <c r="H1173">
        <v>0.346757100466299</v>
      </c>
      <c r="I1173">
        <v>-0.03872919818456801</v>
      </c>
    </row>
    <row r="1174" spans="1:9">
      <c r="A1174" s="1" t="s">
        <v>1186</v>
      </c>
      <c r="B1174">
        <f>HYPERLINK("https://www.suredividend.com/sure-analysis-research-database/","Netgear Inc")</f>
        <v>0</v>
      </c>
      <c r="C1174">
        <v>-0.125274725274725</v>
      </c>
      <c r="D1174">
        <v>0.009639776763064</v>
      </c>
      <c r="E1174">
        <v>-0.135534317984361</v>
      </c>
      <c r="F1174">
        <v>-0.318726463539883</v>
      </c>
      <c r="G1174">
        <v>-0.396604002425712</v>
      </c>
      <c r="H1174">
        <v>-0.418298743057585</v>
      </c>
      <c r="I1174">
        <v>-0.390139256644111</v>
      </c>
    </row>
    <row r="1175" spans="1:9">
      <c r="A1175" s="1" t="s">
        <v>1187</v>
      </c>
      <c r="B1175">
        <f>HYPERLINK("https://www.suredividend.com/sure-analysis-research-database/","Intellia Therapeutics Inc")</f>
        <v>0</v>
      </c>
      <c r="C1175">
        <v>-0.157200496585971</v>
      </c>
      <c r="D1175">
        <v>-0.143240258715885</v>
      </c>
      <c r="E1175">
        <v>-0.137936507936507</v>
      </c>
      <c r="F1175">
        <v>-0.5406799729364</v>
      </c>
      <c r="G1175">
        <v>-0.5500787010189711</v>
      </c>
      <c r="H1175">
        <v>1.064234131508932</v>
      </c>
      <c r="I1175">
        <v>0.844142614601018</v>
      </c>
    </row>
    <row r="1176" spans="1:9">
      <c r="A1176" s="1" t="s">
        <v>1188</v>
      </c>
      <c r="B1176">
        <f>HYPERLINK("https://www.suredividend.com/sure-analysis-NTST/","Netstreit Corp")</f>
        <v>0</v>
      </c>
      <c r="C1176">
        <v>-0.089989888776542</v>
      </c>
      <c r="D1176">
        <v>-0.091005499416728</v>
      </c>
      <c r="E1176">
        <v>-0.213671629272384</v>
      </c>
      <c r="F1176">
        <v>-0.198671575545237</v>
      </c>
      <c r="G1176">
        <v>-0.21259842519685</v>
      </c>
      <c r="H1176">
        <v>-0.013698630136986</v>
      </c>
      <c r="I1176">
        <v>0.09013608532131701</v>
      </c>
    </row>
    <row r="1177" spans="1:9">
      <c r="A1177" s="1" t="s">
        <v>1189</v>
      </c>
      <c r="B1177">
        <f>HYPERLINK("https://www.suredividend.com/sure-analysis-research-database/","Natus Medical Inc")</f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>
      <c r="A1178" s="1" t="s">
        <v>1190</v>
      </c>
      <c r="B1178">
        <f>HYPERLINK("https://www.suredividend.com/sure-analysis-NUS/","Nu Skin Enterprises, Inc.")</f>
        <v>0</v>
      </c>
      <c r="C1178">
        <v>-0.130896517658681</v>
      </c>
      <c r="D1178">
        <v>-0.141437183894444</v>
      </c>
      <c r="E1178">
        <v>-0.278958454565572</v>
      </c>
      <c r="F1178">
        <v>-0.288570631451688</v>
      </c>
      <c r="G1178">
        <v>-0.102506554584128</v>
      </c>
      <c r="H1178">
        <v>-0.320731116460157</v>
      </c>
      <c r="I1178">
        <v>-0.351128288151407</v>
      </c>
    </row>
    <row r="1179" spans="1:9">
      <c r="A1179" s="1" t="s">
        <v>1191</v>
      </c>
      <c r="B1179">
        <f>HYPERLINK("https://www.suredividend.com/sure-analysis-research-database/","Nuvasive Inc")</f>
        <v>0</v>
      </c>
      <c r="C1179">
        <v>-0.142550911039657</v>
      </c>
      <c r="D1179">
        <v>-0.197914577902546</v>
      </c>
      <c r="E1179">
        <v>-0.273255813953488</v>
      </c>
      <c r="F1179">
        <v>-0.23780487804878</v>
      </c>
      <c r="G1179">
        <v>-0.310701361364811</v>
      </c>
      <c r="H1179">
        <v>-0.25980754996299</v>
      </c>
      <c r="I1179">
        <v>-0.255536943979154</v>
      </c>
    </row>
    <row r="1180" spans="1:9">
      <c r="A1180" s="1" t="s">
        <v>1192</v>
      </c>
      <c r="B1180">
        <f>HYPERLINK("https://www.suredividend.com/sure-analysis-research-database/","Nuvation Bio Inc")</f>
        <v>0</v>
      </c>
      <c r="C1180">
        <v>-0.179577464788732</v>
      </c>
      <c r="D1180">
        <v>-0.423267326732673</v>
      </c>
      <c r="E1180">
        <v>-0.5763636363636361</v>
      </c>
      <c r="F1180">
        <v>-0.7258823529411761</v>
      </c>
      <c r="G1180">
        <v>-0.7442371020856201</v>
      </c>
      <c r="H1180">
        <v>-0.7881818181818181</v>
      </c>
      <c r="I1180">
        <v>-0.7597938144329891</v>
      </c>
    </row>
    <row r="1181" spans="1:9">
      <c r="A1181" s="1" t="s">
        <v>1193</v>
      </c>
      <c r="B1181">
        <f>HYPERLINK("https://www.suredividend.com/sure-analysis-research-database/","Nuvalent Inc")</f>
        <v>0</v>
      </c>
      <c r="C1181">
        <v>0.061967026719727</v>
      </c>
      <c r="D1181">
        <v>0.026373626373626</v>
      </c>
      <c r="E1181">
        <v>0.420532319391634</v>
      </c>
      <c r="F1181">
        <v>-0.01890756302521</v>
      </c>
      <c r="G1181">
        <v>0.027502750275027</v>
      </c>
      <c r="H1181">
        <v>-0.003733333333333</v>
      </c>
      <c r="I1181">
        <v>-0.003733333333333</v>
      </c>
    </row>
    <row r="1182" spans="1:9">
      <c r="A1182" s="1" t="s">
        <v>1194</v>
      </c>
      <c r="B1182">
        <f>HYPERLINK("https://www.suredividend.com/sure-analysis-research-database/","NVE Corp")</f>
        <v>0</v>
      </c>
      <c r="C1182">
        <v>-0.040420371867421</v>
      </c>
      <c r="D1182">
        <v>0.025025474516847</v>
      </c>
      <c r="E1182">
        <v>-0.026572440190995</v>
      </c>
      <c r="F1182">
        <v>-0.264481488882795</v>
      </c>
      <c r="G1182">
        <v>-0.204128874801157</v>
      </c>
      <c r="H1182">
        <v>0.08658836883587601</v>
      </c>
      <c r="I1182">
        <v>-0.215205314388949</v>
      </c>
    </row>
    <row r="1183" spans="1:9">
      <c r="A1183" s="1" t="s">
        <v>1195</v>
      </c>
      <c r="B1183">
        <f>HYPERLINK("https://www.suredividend.com/sure-analysis-research-database/","NV5 Global Inc")</f>
        <v>0</v>
      </c>
      <c r="C1183">
        <v>-0.104441945459657</v>
      </c>
      <c r="D1183">
        <v>0.07800338409475401</v>
      </c>
      <c r="E1183">
        <v>-0.05467764670969601</v>
      </c>
      <c r="F1183">
        <v>-0.07746886765131701</v>
      </c>
      <c r="G1183">
        <v>0.256855395541526</v>
      </c>
      <c r="H1183">
        <v>1.144395826321103</v>
      </c>
      <c r="I1183">
        <v>1.333699633699633</v>
      </c>
    </row>
    <row r="1184" spans="1:9">
      <c r="A1184" s="1" t="s">
        <v>1196</v>
      </c>
      <c r="B1184">
        <f>HYPERLINK("https://www.suredividend.com/sure-analysis-research-database/","Nevro Corp")</f>
        <v>0</v>
      </c>
      <c r="C1184">
        <v>-0.26378509392042</v>
      </c>
      <c r="D1184">
        <v>-0.242518703241895</v>
      </c>
      <c r="E1184">
        <v>-0.5243997912317321</v>
      </c>
      <c r="F1184">
        <v>-0.5503885531022571</v>
      </c>
      <c r="G1184">
        <v>-0.682491289198606</v>
      </c>
      <c r="H1184">
        <v>-0.757113347104684</v>
      </c>
      <c r="I1184">
        <v>-0.6046637744034701</v>
      </c>
    </row>
    <row r="1185" spans="1:9">
      <c r="A1185" s="1" t="s">
        <v>1197</v>
      </c>
      <c r="B1185">
        <f>HYPERLINK("https://www.suredividend.com/sure-analysis-research-database/","Invitae Corp")</f>
        <v>0</v>
      </c>
      <c r="C1185">
        <v>-0.45</v>
      </c>
      <c r="D1185">
        <v>-0.294871794871794</v>
      </c>
      <c r="E1185">
        <v>-0.6883852691218131</v>
      </c>
      <c r="F1185">
        <v>-0.855926653569089</v>
      </c>
      <c r="G1185">
        <v>-0.9158699808795411</v>
      </c>
      <c r="H1185">
        <v>-0.9587319452260361</v>
      </c>
      <c r="I1185">
        <v>-0.7786720321931591</v>
      </c>
    </row>
    <row r="1186" spans="1:9">
      <c r="A1186" s="1" t="s">
        <v>1198</v>
      </c>
      <c r="B1186">
        <f>HYPERLINK("https://www.suredividend.com/sure-analysis-NWBI/","Northwest Bancshares Inc")</f>
        <v>0</v>
      </c>
      <c r="C1186">
        <v>-0.034801136363636</v>
      </c>
      <c r="D1186">
        <v>0.071825731704431</v>
      </c>
      <c r="E1186">
        <v>0.074079050321275</v>
      </c>
      <c r="F1186">
        <v>0.003366705058917</v>
      </c>
      <c r="G1186">
        <v>0.036613272311212</v>
      </c>
      <c r="H1186">
        <v>0.5224673156851101</v>
      </c>
      <c r="I1186">
        <v>0.005177514792899</v>
      </c>
    </row>
    <row r="1187" spans="1:9">
      <c r="A1187" s="1" t="s">
        <v>1199</v>
      </c>
      <c r="B1187">
        <f>HYPERLINK("https://www.suredividend.com/sure-analysis-NWE/","Northwestern Corp.")</f>
        <v>0</v>
      </c>
      <c r="C1187">
        <v>-0.093085233125483</v>
      </c>
      <c r="D1187">
        <v>-0.119253252070146</v>
      </c>
      <c r="E1187">
        <v>-0.169384743739749</v>
      </c>
      <c r="F1187">
        <v>-0.10509362333991</v>
      </c>
      <c r="G1187">
        <v>-0.121342775761278</v>
      </c>
      <c r="H1187">
        <v>0.032496082232428</v>
      </c>
      <c r="I1187">
        <v>0.03881489443893901</v>
      </c>
    </row>
    <row r="1188" spans="1:9">
      <c r="A1188" s="1" t="s">
        <v>1200</v>
      </c>
      <c r="B1188">
        <f>HYPERLINK("https://www.suredividend.com/sure-analysis-research-database/","National Western Life Group Inc")</f>
        <v>0</v>
      </c>
      <c r="C1188">
        <v>-0.09465567668173301</v>
      </c>
      <c r="D1188">
        <v>-0.1449020592667</v>
      </c>
      <c r="E1188">
        <v>-0.180268669651885</v>
      </c>
      <c r="F1188">
        <v>-0.206071628427532</v>
      </c>
      <c r="G1188">
        <v>-0.193720634737214</v>
      </c>
      <c r="H1188">
        <v>-0.13964703545867</v>
      </c>
      <c r="I1188">
        <v>-0.525193206623366</v>
      </c>
    </row>
    <row r="1189" spans="1:9">
      <c r="A1189" s="1" t="s">
        <v>1201</v>
      </c>
      <c r="B1189">
        <f>HYPERLINK("https://www.suredividend.com/sure-analysis-NWN/","Northwest Natural Holding Co")</f>
        <v>0</v>
      </c>
      <c r="C1189">
        <v>-0.120813642901171</v>
      </c>
      <c r="D1189">
        <v>-0.170533890058425</v>
      </c>
      <c r="E1189">
        <v>-0.151722524651391</v>
      </c>
      <c r="F1189">
        <v>-0.096775283009707</v>
      </c>
      <c r="G1189">
        <v>-0.04924210442116801</v>
      </c>
      <c r="H1189">
        <v>-0.012934047201083</v>
      </c>
      <c r="I1189">
        <v>-0.279592032580825</v>
      </c>
    </row>
    <row r="1190" spans="1:9">
      <c r="A1190" s="1" t="s">
        <v>1202</v>
      </c>
      <c r="B1190">
        <f>HYPERLINK("https://www.suredividend.com/sure-analysis-research-database/","Northwest Pipe Co.")</f>
        <v>0</v>
      </c>
      <c r="C1190">
        <v>-0.105882352941176</v>
      </c>
      <c r="D1190">
        <v>0.046831955922864</v>
      </c>
      <c r="E1190">
        <v>0.225806451612903</v>
      </c>
      <c r="F1190">
        <v>-0.044025157232704</v>
      </c>
      <c r="G1190">
        <v>0.161635460450897</v>
      </c>
      <c r="H1190">
        <v>0.071554458935495</v>
      </c>
      <c r="I1190">
        <v>0.533804238143289</v>
      </c>
    </row>
    <row r="1191" spans="1:9">
      <c r="A1191" s="1" t="s">
        <v>1203</v>
      </c>
      <c r="B1191">
        <f>HYPERLINK("https://www.suredividend.com/sure-analysis-research-database/","Quanex Building Products Corp")</f>
        <v>0</v>
      </c>
      <c r="C1191">
        <v>-0.041860068986074</v>
      </c>
      <c r="D1191">
        <v>-0.110988186020783</v>
      </c>
      <c r="E1191">
        <v>0.007608062854839</v>
      </c>
      <c r="F1191">
        <v>-0.173712215185741</v>
      </c>
      <c r="G1191">
        <v>-0.03494683867647101</v>
      </c>
      <c r="H1191">
        <v>0.050589108114698</v>
      </c>
      <c r="I1191">
        <v>-0.044878900077824</v>
      </c>
    </row>
    <row r="1192" spans="1:9">
      <c r="A1192" s="1" t="s">
        <v>1204</v>
      </c>
      <c r="B1192">
        <f>HYPERLINK("https://www.suredividend.com/sure-analysis-research-database/","NextGen Healthcare Inc")</f>
        <v>0</v>
      </c>
      <c r="C1192">
        <v>0.05889281507656</v>
      </c>
      <c r="D1192">
        <v>0.024501424501424</v>
      </c>
      <c r="E1192">
        <v>-0.16020551144325</v>
      </c>
      <c r="F1192">
        <v>0.010680157391793</v>
      </c>
      <c r="G1192">
        <v>0.234890109890109</v>
      </c>
      <c r="H1192">
        <v>0.301013024602025</v>
      </c>
      <c r="I1192">
        <v>0.156270096463022</v>
      </c>
    </row>
    <row r="1193" spans="1:9">
      <c r="A1193" s="1" t="s">
        <v>1205</v>
      </c>
      <c r="B1193">
        <f>HYPERLINK("https://www.suredividend.com/sure-analysis-NXRT/","NexPoint Residential Trust Inc")</f>
        <v>0</v>
      </c>
      <c r="C1193">
        <v>-0.248591924177955</v>
      </c>
      <c r="D1193">
        <v>-0.319747378070151</v>
      </c>
      <c r="E1193">
        <v>-0.5305928576162671</v>
      </c>
      <c r="F1193">
        <v>-0.5098568908390461</v>
      </c>
      <c r="G1193">
        <v>-0.349778132122119</v>
      </c>
      <c r="H1193">
        <v>-0.049578702275878</v>
      </c>
      <c r="I1193">
        <v>0.9923405683377251</v>
      </c>
    </row>
    <row r="1194" spans="1:9">
      <c r="A1194" s="1" t="s">
        <v>1206</v>
      </c>
      <c r="B1194">
        <f>HYPERLINK("https://www.suredividend.com/sure-analysis-NYMT/","New York Mortgage Trust Inc")</f>
        <v>0</v>
      </c>
      <c r="C1194">
        <v>-0.186487669633737</v>
      </c>
      <c r="D1194">
        <v>-0.186487669633737</v>
      </c>
      <c r="E1194">
        <v>-0.299689099645133</v>
      </c>
      <c r="F1194">
        <v>-0.334566722368106</v>
      </c>
      <c r="G1194">
        <v>-0.410380476454879</v>
      </c>
      <c r="H1194">
        <v>0.035715944452185</v>
      </c>
      <c r="I1194">
        <v>-0.369504368232067</v>
      </c>
    </row>
    <row r="1195" spans="1:9">
      <c r="A1195" s="1" t="s">
        <v>1207</v>
      </c>
      <c r="B1195">
        <f>HYPERLINK("https://www.suredividend.com/sure-analysis-research-database/","Oasis Petroleum Inc.")</f>
        <v>0</v>
      </c>
      <c r="C1195">
        <v>-0.244544895321431</v>
      </c>
      <c r="D1195">
        <v>-0.159303198493668</v>
      </c>
      <c r="E1195">
        <v>-0.05232912011403201</v>
      </c>
      <c r="F1195">
        <v>0.018601356892566</v>
      </c>
      <c r="G1195">
        <v>0.231337020209473</v>
      </c>
      <c r="H1195">
        <v>3.221674610470371</v>
      </c>
      <c r="I1195">
        <v>3.221674610470371</v>
      </c>
    </row>
    <row r="1196" spans="1:9">
      <c r="A1196" s="1" t="s">
        <v>1208</v>
      </c>
      <c r="B1196">
        <f>HYPERLINK("https://www.suredividend.com/sure-analysis-research-database/","Outbrain Inc")</f>
        <v>0</v>
      </c>
      <c r="C1196">
        <v>-0.068075117370891</v>
      </c>
      <c r="D1196">
        <v>-0.239463601532566</v>
      </c>
      <c r="E1196">
        <v>-0.620095693779904</v>
      </c>
      <c r="F1196">
        <v>-0.7164285714285711</v>
      </c>
      <c r="G1196">
        <v>-0.7507846829880721</v>
      </c>
      <c r="H1196">
        <v>-0.8015</v>
      </c>
      <c r="I1196">
        <v>-0.8015</v>
      </c>
    </row>
    <row r="1197" spans="1:9">
      <c r="A1197" s="1" t="s">
        <v>1209</v>
      </c>
      <c r="B1197">
        <f>HYPERLINK("https://www.suredividend.com/sure-analysis-research-database/","Origin Bancorp Inc")</f>
        <v>0</v>
      </c>
      <c r="C1197">
        <v>-0.057177322074788</v>
      </c>
      <c r="D1197">
        <v>0.003713843956913</v>
      </c>
      <c r="E1197">
        <v>-0.018871903534119</v>
      </c>
      <c r="F1197">
        <v>-0.080135108098247</v>
      </c>
      <c r="G1197">
        <v>-0.08917804611444001</v>
      </c>
      <c r="H1197">
        <v>0.6303440910456221</v>
      </c>
      <c r="I1197">
        <v>0.093064300038878</v>
      </c>
    </row>
    <row r="1198" spans="1:9">
      <c r="A1198" s="1" t="s">
        <v>1210</v>
      </c>
      <c r="B1198">
        <f>HYPERLINK("https://www.suredividend.com/sure-analysis-research-database/","Ortho Clinical Diagnostics Holdings plc")</f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>
      <c r="A1199" s="1" t="s">
        <v>1211</v>
      </c>
      <c r="B1199">
        <f>HYPERLINK("https://www.suredividend.com/sure-analysis-research-database/","OceanFirst Financial Corp.")</f>
        <v>0</v>
      </c>
      <c r="C1199">
        <v>-0.025967413441955</v>
      </c>
      <c r="D1199">
        <v>-0.001247787656821</v>
      </c>
      <c r="E1199">
        <v>0.04003566457898301</v>
      </c>
      <c r="F1199">
        <v>-0.115428899071963</v>
      </c>
      <c r="G1199">
        <v>-0.106884413195514</v>
      </c>
      <c r="H1199">
        <v>0.349521001171042</v>
      </c>
      <c r="I1199">
        <v>-0.205927524801793</v>
      </c>
    </row>
    <row r="1200" spans="1:9">
      <c r="A1200" s="1" t="s">
        <v>1212</v>
      </c>
      <c r="B1200">
        <f>HYPERLINK("https://www.suredividend.com/sure-analysis-research-database/","Ocugen Inc")</f>
        <v>0</v>
      </c>
      <c r="C1200">
        <v>-0.350806451612903</v>
      </c>
      <c r="D1200">
        <v>-0.480645161290322</v>
      </c>
      <c r="E1200">
        <v>-0.456081081081081</v>
      </c>
      <c r="F1200">
        <v>-0.6461538461538461</v>
      </c>
      <c r="G1200">
        <v>-0.7722772277227721</v>
      </c>
      <c r="H1200">
        <v>3.516129032258065</v>
      </c>
      <c r="I1200">
        <v>-0.240566037735849</v>
      </c>
    </row>
    <row r="1201" spans="1:9">
      <c r="A1201" s="1" t="s">
        <v>1213</v>
      </c>
      <c r="B1201">
        <f>HYPERLINK("https://www.suredividend.com/sure-analysis-research-database/","Ocwen Financial Corp.")</f>
        <v>0</v>
      </c>
      <c r="C1201">
        <v>-0.08566037735849001</v>
      </c>
      <c r="D1201">
        <v>-0.163906142167011</v>
      </c>
      <c r="E1201">
        <v>0.121240166589541</v>
      </c>
      <c r="F1201">
        <v>-0.393795346509882</v>
      </c>
      <c r="G1201">
        <v>-0.153389238294898</v>
      </c>
      <c r="H1201">
        <v>-0.10590405904059</v>
      </c>
      <c r="I1201">
        <v>5.513440860215054</v>
      </c>
    </row>
    <row r="1202" spans="1:9">
      <c r="A1202" s="1" t="s">
        <v>1214</v>
      </c>
      <c r="B1202">
        <f>HYPERLINK("https://www.suredividend.com/sure-analysis-research-database/","Ocular Therapeutix Inc")</f>
        <v>0</v>
      </c>
      <c r="C1202">
        <v>-0.339464882943143</v>
      </c>
      <c r="D1202">
        <v>-0.120267260579064</v>
      </c>
      <c r="E1202">
        <v>-0.155982905982905</v>
      </c>
      <c r="F1202">
        <v>-0.4332855093256811</v>
      </c>
      <c r="G1202">
        <v>-0.5948717948717941</v>
      </c>
      <c r="H1202">
        <v>-0.649511978704525</v>
      </c>
      <c r="I1202">
        <v>-0.350328947368421</v>
      </c>
    </row>
    <row r="1203" spans="1:9">
      <c r="A1203" s="1" t="s">
        <v>1215</v>
      </c>
      <c r="B1203">
        <f>HYPERLINK("https://www.suredividend.com/sure-analysis-research-database/","Oncocyte Corporation")</f>
        <v>0</v>
      </c>
      <c r="C1203">
        <v>-0.115032080659945</v>
      </c>
      <c r="D1203">
        <v>-0.142825435578737</v>
      </c>
      <c r="E1203">
        <v>-0.419248120300752</v>
      </c>
      <c r="F1203">
        <v>-0.6440552995391701</v>
      </c>
      <c r="G1203">
        <v>-0.765939393939393</v>
      </c>
      <c r="H1203">
        <v>-0.481610738255033</v>
      </c>
      <c r="I1203">
        <v>-0.8838496240601501</v>
      </c>
    </row>
    <row r="1204" spans="1:9">
      <c r="A1204" s="1" t="s">
        <v>1216</v>
      </c>
      <c r="B1204">
        <f>HYPERLINK("https://www.suredividend.com/sure-analysis-research-database/","Oil-Dri Corp. Of America")</f>
        <v>0</v>
      </c>
      <c r="C1204">
        <v>-0.14785553047404</v>
      </c>
      <c r="D1204">
        <v>-0.251474743468993</v>
      </c>
      <c r="E1204">
        <v>-0.159729332680407</v>
      </c>
      <c r="F1204">
        <v>-0.287312270500391</v>
      </c>
      <c r="G1204">
        <v>-0.32717842693425</v>
      </c>
      <c r="H1204">
        <v>-0.345649944387467</v>
      </c>
      <c r="I1204">
        <v>-0.476969331698429</v>
      </c>
    </row>
    <row r="1205" spans="1:9">
      <c r="A1205" s="1" t="s">
        <v>1217</v>
      </c>
      <c r="B1205">
        <f>HYPERLINK("https://www.suredividend.com/sure-analysis-research-database/","ODP Corporation (The)")</f>
        <v>0</v>
      </c>
      <c r="C1205">
        <v>-0.037988521453949</v>
      </c>
      <c r="D1205">
        <v>0.128928800513149</v>
      </c>
      <c r="E1205">
        <v>-0.226373626373626</v>
      </c>
      <c r="F1205">
        <v>-0.10386965376782</v>
      </c>
      <c r="G1205">
        <v>-0.166666666666666</v>
      </c>
      <c r="H1205">
        <v>0.5554573574900571</v>
      </c>
      <c r="I1205">
        <v>0.036867716887982</v>
      </c>
    </row>
    <row r="1206" spans="1:9">
      <c r="A1206" s="1" t="s">
        <v>1218</v>
      </c>
      <c r="B1206">
        <f>HYPERLINK("https://www.suredividend.com/sure-analysis-research-database/","Orion Engineered Carbons S.A.")</f>
        <v>0</v>
      </c>
      <c r="C1206">
        <v>-0.215577703949796</v>
      </c>
      <c r="D1206">
        <v>-0.135393554867543</v>
      </c>
      <c r="E1206">
        <v>-0.06601104304590201</v>
      </c>
      <c r="F1206">
        <v>-0.256513705295153</v>
      </c>
      <c r="G1206">
        <v>-0.268860443737198</v>
      </c>
      <c r="H1206">
        <v>-0.09898569639793001</v>
      </c>
      <c r="I1206">
        <v>-0.36838780988473</v>
      </c>
    </row>
    <row r="1207" spans="1:9">
      <c r="A1207" s="1" t="s">
        <v>1219</v>
      </c>
      <c r="B1207">
        <f>HYPERLINK("https://www.suredividend.com/sure-analysis-OFC/","Corporate Office Properties Trust")</f>
        <v>0</v>
      </c>
      <c r="C1207">
        <v>-0.121686301281048</v>
      </c>
      <c r="D1207">
        <v>-0.100671665104654</v>
      </c>
      <c r="E1207">
        <v>-0.138508268899138</v>
      </c>
      <c r="F1207">
        <v>-0.150303647459027</v>
      </c>
      <c r="G1207">
        <v>-0.141370079562147</v>
      </c>
      <c r="H1207">
        <v>-0.030703508070455</v>
      </c>
      <c r="I1207">
        <v>-0.147860771624466</v>
      </c>
    </row>
    <row r="1208" spans="1:9">
      <c r="A1208" s="1" t="s">
        <v>1220</v>
      </c>
      <c r="B1208">
        <f>HYPERLINK("https://www.suredividend.com/sure-analysis-research-database/","OFG Bancorp")</f>
        <v>0</v>
      </c>
      <c r="C1208">
        <v>-0.024896960761317</v>
      </c>
      <c r="D1208">
        <v>0.020336605890603</v>
      </c>
      <c r="E1208">
        <v>0.04353854797129501</v>
      </c>
      <c r="F1208">
        <v>0.004988488104374</v>
      </c>
      <c r="G1208">
        <v>0.02529772390952</v>
      </c>
      <c r="H1208">
        <v>0.9541713612045871</v>
      </c>
      <c r="I1208">
        <v>2.216259363870809</v>
      </c>
    </row>
    <row r="1209" spans="1:9">
      <c r="A1209" s="1" t="s">
        <v>1221</v>
      </c>
      <c r="B1209">
        <f>HYPERLINK("https://www.suredividend.com/sure-analysis-research-database/","Orthofix Medical Inc")</f>
        <v>0</v>
      </c>
      <c r="C1209">
        <v>-0.141390573961735</v>
      </c>
      <c r="D1209">
        <v>-0.251119251119251</v>
      </c>
      <c r="E1209">
        <v>-0.427326486150015</v>
      </c>
      <c r="F1209">
        <v>-0.408169829527179</v>
      </c>
      <c r="G1209">
        <v>-0.498500953938402</v>
      </c>
      <c r="H1209">
        <v>-0.4615159496634471</v>
      </c>
      <c r="I1209">
        <v>-0.6246430028559771</v>
      </c>
    </row>
    <row r="1210" spans="1:9">
      <c r="A1210" s="1" t="s">
        <v>1222</v>
      </c>
      <c r="B1210">
        <f>HYPERLINK("https://www.suredividend.com/sure-analysis-research-database/","Omega Flex Inc")</f>
        <v>0</v>
      </c>
      <c r="C1210">
        <v>-0.146341133028281</v>
      </c>
      <c r="D1210">
        <v>-0.15176139845858</v>
      </c>
      <c r="E1210">
        <v>-0.269637051413595</v>
      </c>
      <c r="F1210">
        <v>-0.248883217351091</v>
      </c>
      <c r="G1210">
        <v>-0.314382944650185</v>
      </c>
      <c r="H1210">
        <v>-0.433469696951535</v>
      </c>
      <c r="I1210">
        <v>0.556795106791895</v>
      </c>
    </row>
    <row r="1211" spans="1:9">
      <c r="A1211" s="1" t="s">
        <v>1223</v>
      </c>
      <c r="B1211">
        <f>HYPERLINK("https://www.suredividend.com/sure-analysis-OGS/","ONE Gas Inc")</f>
        <v>0</v>
      </c>
      <c r="C1211">
        <v>-0.126347082868822</v>
      </c>
      <c r="D1211">
        <v>-0.107971720186677</v>
      </c>
      <c r="E1211">
        <v>-0.220853250200779</v>
      </c>
      <c r="F1211">
        <v>-0.069772962877966</v>
      </c>
      <c r="G1211">
        <v>0.075177023864875</v>
      </c>
      <c r="H1211">
        <v>0.018257311731398</v>
      </c>
      <c r="I1211">
        <v>0.07892373800494701</v>
      </c>
    </row>
    <row r="1212" spans="1:9">
      <c r="A1212" s="1" t="s">
        <v>1224</v>
      </c>
      <c r="B1212">
        <f>HYPERLINK("https://www.suredividend.com/sure-analysis-research-database/","O-I Glass Inc")</f>
        <v>0</v>
      </c>
      <c r="C1212">
        <v>0.012526096033403</v>
      </c>
      <c r="D1212">
        <v>0.078576723498888</v>
      </c>
      <c r="E1212">
        <v>0.110687022900763</v>
      </c>
      <c r="F1212">
        <v>0.209476309226932</v>
      </c>
      <c r="G1212">
        <v>0.00275671950379</v>
      </c>
      <c r="H1212">
        <v>0.271853146853146</v>
      </c>
      <c r="I1212">
        <v>-0.421898715065597</v>
      </c>
    </row>
    <row r="1213" spans="1:9">
      <c r="A1213" s="1" t="s">
        <v>1225</v>
      </c>
      <c r="B1213">
        <f>HYPERLINK("https://www.suredividend.com/sure-analysis-research-database/","Oceaneering International, Inc.")</f>
        <v>0</v>
      </c>
      <c r="C1213">
        <v>-0.09736308316430001</v>
      </c>
      <c r="D1213">
        <v>-0.171322160148975</v>
      </c>
      <c r="E1213">
        <v>-0.413702239789196</v>
      </c>
      <c r="F1213">
        <v>-0.213085764809902</v>
      </c>
      <c r="G1213">
        <v>-0.391244870041039</v>
      </c>
      <c r="H1213">
        <v>1.208436724565756</v>
      </c>
      <c r="I1213">
        <v>-0.6484992101105841</v>
      </c>
    </row>
    <row r="1214" spans="1:9">
      <c r="A1214" s="1" t="s">
        <v>1226</v>
      </c>
      <c r="B1214">
        <f>HYPERLINK("https://www.suredividend.com/sure-analysis-research-database/","Oil States International, Inc.")</f>
        <v>0</v>
      </c>
      <c r="C1214">
        <v>-0.107723577235772</v>
      </c>
      <c r="D1214">
        <v>-0.105906313645621</v>
      </c>
      <c r="E1214">
        <v>-0.383426966292134</v>
      </c>
      <c r="F1214">
        <v>-0.116700201207243</v>
      </c>
      <c r="G1214">
        <v>-0.367435158501441</v>
      </c>
      <c r="H1214">
        <v>0.534965034965035</v>
      </c>
      <c r="I1214">
        <v>-0.827165354330708</v>
      </c>
    </row>
    <row r="1215" spans="1:9">
      <c r="A1215" s="1" t="s">
        <v>1227</v>
      </c>
      <c r="B1215">
        <f>HYPERLINK("https://www.suredividend.com/sure-analysis-research-database/","Olema Pharmaceuticals Inc")</f>
        <v>0</v>
      </c>
      <c r="C1215">
        <v>-0.317535545023696</v>
      </c>
      <c r="D1215">
        <v>-0.403726708074534</v>
      </c>
      <c r="E1215">
        <v>-0.2</v>
      </c>
      <c r="F1215">
        <v>-0.6923076923076921</v>
      </c>
      <c r="G1215">
        <v>-0.8948521358159911</v>
      </c>
      <c r="H1215">
        <v>-0.9412244897959181</v>
      </c>
      <c r="I1215">
        <v>-0.9412244897959181</v>
      </c>
    </row>
    <row r="1216" spans="1:9">
      <c r="A1216" s="1" t="s">
        <v>1228</v>
      </c>
      <c r="B1216">
        <f>HYPERLINK("https://www.suredividend.com/sure-analysis-OLP/","One Liberty Properties, Inc.")</f>
        <v>0</v>
      </c>
      <c r="C1216">
        <v>-0.11621554192056</v>
      </c>
      <c r="D1216">
        <v>-0.175067297141549</v>
      </c>
      <c r="E1216">
        <v>-0.288762446657183</v>
      </c>
      <c r="F1216">
        <v>-0.3759554748710101</v>
      </c>
      <c r="G1216">
        <v>-0.293503613610703</v>
      </c>
      <c r="H1216">
        <v>0.398713718771541</v>
      </c>
      <c r="I1216">
        <v>0.197714600083668</v>
      </c>
    </row>
    <row r="1217" spans="1:9">
      <c r="A1217" s="1" t="s">
        <v>1229</v>
      </c>
      <c r="B1217">
        <f>HYPERLINK("https://www.suredividend.com/sure-analysis-research-database/","Outset Medical Inc")</f>
        <v>0</v>
      </c>
      <c r="C1217">
        <v>-0.229455709711846</v>
      </c>
      <c r="D1217">
        <v>-0.164835164835164</v>
      </c>
      <c r="E1217">
        <v>-0.6937433722163301</v>
      </c>
      <c r="F1217">
        <v>-0.6866999349099581</v>
      </c>
      <c r="G1217">
        <v>-0.7002283578991071</v>
      </c>
      <c r="H1217">
        <v>-0.660315219948247</v>
      </c>
      <c r="I1217">
        <v>-0.7620303230059321</v>
      </c>
    </row>
    <row r="1218" spans="1:9">
      <c r="A1218" s="1" t="s">
        <v>1230</v>
      </c>
      <c r="B1218">
        <f>HYPERLINK("https://www.suredividend.com/sure-analysis-research-database/","Omnicell, Inc.")</f>
        <v>0</v>
      </c>
      <c r="C1218">
        <v>-0.250498338870431</v>
      </c>
      <c r="D1218">
        <v>-0.322696860524961</v>
      </c>
      <c r="E1218">
        <v>-0.3630717108977971</v>
      </c>
      <c r="F1218">
        <v>-0.562403014852582</v>
      </c>
      <c r="G1218">
        <v>-0.499746578813988</v>
      </c>
      <c r="H1218">
        <v>-0.007291928589389001</v>
      </c>
      <c r="I1218">
        <v>0.528751210067763</v>
      </c>
    </row>
    <row r="1219" spans="1:9">
      <c r="A1219" s="1" t="s">
        <v>1231</v>
      </c>
      <c r="B1219">
        <f>HYPERLINK("https://www.suredividend.com/sure-analysis-research-database/","Omeros Corporation")</f>
        <v>0</v>
      </c>
      <c r="C1219">
        <v>-0.370093457943925</v>
      </c>
      <c r="D1219">
        <v>-0.174019607843137</v>
      </c>
      <c r="E1219">
        <v>-0.412891986062717</v>
      </c>
      <c r="F1219">
        <v>-0.475894245723172</v>
      </c>
      <c r="G1219">
        <v>-0.497014925373134</v>
      </c>
      <c r="H1219">
        <v>-0.6958483754512631</v>
      </c>
      <c r="I1219">
        <v>-0.8411875589066911</v>
      </c>
    </row>
    <row r="1220" spans="1:9">
      <c r="A1220" s="1" t="s">
        <v>1232</v>
      </c>
      <c r="B1220">
        <f>HYPERLINK("https://www.suredividend.com/sure-analysis-research-database/","Omega Therapeutics Inc")</f>
        <v>0</v>
      </c>
      <c r="C1220">
        <v>-0.29783693843594</v>
      </c>
      <c r="D1220">
        <v>-0.09051724137931001</v>
      </c>
      <c r="E1220">
        <v>-0.319354838709677</v>
      </c>
      <c r="F1220">
        <v>-0.6275375110326561</v>
      </c>
      <c r="G1220">
        <v>-0.7618510158013541</v>
      </c>
      <c r="H1220">
        <v>-0.7362500000000001</v>
      </c>
      <c r="I1220">
        <v>-0.7362500000000001</v>
      </c>
    </row>
    <row r="1221" spans="1:9">
      <c r="A1221" s="1" t="s">
        <v>1233</v>
      </c>
      <c r="B1221">
        <f>HYPERLINK("https://www.suredividend.com/sure-analysis-research-database/","Owens &amp; Minor, Inc.")</f>
        <v>0</v>
      </c>
      <c r="C1221">
        <v>-0.183268344558667</v>
      </c>
      <c r="D1221">
        <v>-0.295412844036697</v>
      </c>
      <c r="E1221">
        <v>-0.456475583864118</v>
      </c>
      <c r="F1221">
        <v>-0.470344827586206</v>
      </c>
      <c r="G1221">
        <v>-0.270839926577631</v>
      </c>
      <c r="H1221">
        <v>-0.125646562356503</v>
      </c>
      <c r="I1221">
        <v>-0.119653057715453</v>
      </c>
    </row>
    <row r="1222" spans="1:9">
      <c r="A1222" s="1" t="s">
        <v>1234</v>
      </c>
      <c r="B1222">
        <f>HYPERLINK("https://www.suredividend.com/sure-analysis-research-database/","Singular Genomics Systems Inc")</f>
        <v>0</v>
      </c>
      <c r="C1222">
        <v>-0.283076923076923</v>
      </c>
      <c r="D1222">
        <v>-0.507399577167019</v>
      </c>
      <c r="E1222">
        <v>-0.5740402193784271</v>
      </c>
      <c r="F1222">
        <v>-0.7984429065743941</v>
      </c>
      <c r="G1222">
        <v>-0.8101059494702521</v>
      </c>
      <c r="H1222">
        <v>-0.9094090202177291</v>
      </c>
      <c r="I1222">
        <v>-0.9094090202177291</v>
      </c>
    </row>
    <row r="1223" spans="1:9">
      <c r="A1223" s="1" t="s">
        <v>1235</v>
      </c>
      <c r="B1223">
        <f>HYPERLINK("https://www.suredividend.com/sure-analysis-research-database/","Old National Bancorp")</f>
        <v>0</v>
      </c>
      <c r="C1223">
        <v>0.018213866039952</v>
      </c>
      <c r="D1223">
        <v>0.157231192489015</v>
      </c>
      <c r="E1223">
        <v>0.135425538884884</v>
      </c>
      <c r="F1223">
        <v>-0.027966301336055</v>
      </c>
      <c r="G1223">
        <v>0.024322487218133</v>
      </c>
      <c r="H1223">
        <v>0.336758149365174</v>
      </c>
      <c r="I1223">
        <v>0.08303023485445001</v>
      </c>
    </row>
    <row r="1224" spans="1:9">
      <c r="A1224" s="1" t="s">
        <v>1236</v>
      </c>
      <c r="B1224">
        <f>HYPERLINK("https://www.suredividend.com/sure-analysis-research-database/","Oncorus Inc")</f>
        <v>0</v>
      </c>
      <c r="C1224">
        <v>-0.37296</v>
      </c>
      <c r="D1224">
        <v>-0.406212121212121</v>
      </c>
      <c r="E1224">
        <v>-0.5101249999999991</v>
      </c>
      <c r="F1224">
        <v>-0.8512713472485761</v>
      </c>
      <c r="G1224">
        <v>-0.9115349887133181</v>
      </c>
      <c r="H1224">
        <v>-0.9499489144316731</v>
      </c>
      <c r="I1224">
        <v>-0.9510124999999999</v>
      </c>
    </row>
    <row r="1225" spans="1:9">
      <c r="A1225" s="1" t="s">
        <v>1237</v>
      </c>
      <c r="B1225">
        <f>HYPERLINK("https://www.suredividend.com/sure-analysis-research-database/","Oncternal Therapeutics Inc")</f>
        <v>0</v>
      </c>
      <c r="C1225">
        <v>-0.02803738317757</v>
      </c>
      <c r="D1225">
        <v>-0.087719298245613</v>
      </c>
      <c r="E1225">
        <v>-0.193798449612403</v>
      </c>
      <c r="F1225">
        <v>-0.5418502202643171</v>
      </c>
      <c r="G1225">
        <v>-0.736708860759493</v>
      </c>
      <c r="H1225">
        <v>-0.437837837837837</v>
      </c>
      <c r="I1225">
        <v>-0.8720787207872071</v>
      </c>
    </row>
    <row r="1226" spans="1:9">
      <c r="A1226" s="1" t="s">
        <v>1238</v>
      </c>
      <c r="B1226">
        <f>HYPERLINK("https://www.suredividend.com/sure-analysis-research-database/","1life Healthcare Inc")</f>
        <v>0</v>
      </c>
      <c r="C1226">
        <v>0.007642563198118001</v>
      </c>
      <c r="D1226">
        <v>0.483982683982684</v>
      </c>
      <c r="E1226">
        <v>0.667315175097276</v>
      </c>
      <c r="F1226">
        <v>-0.024473534433693</v>
      </c>
      <c r="G1226">
        <v>-0.161858190709046</v>
      </c>
      <c r="H1226">
        <v>-0.4236718224613311</v>
      </c>
      <c r="I1226">
        <v>-0.223380154055278</v>
      </c>
    </row>
    <row r="1227" spans="1:9">
      <c r="A1227" s="1" t="s">
        <v>1239</v>
      </c>
      <c r="B1227">
        <f>HYPERLINK("https://www.suredividend.com/sure-analysis-research-database/","Onewater Marine Inc")</f>
        <v>0</v>
      </c>
      <c r="C1227">
        <v>-0.173373759647188</v>
      </c>
      <c r="D1227">
        <v>-0.12386795208881</v>
      </c>
      <c r="E1227">
        <v>-0.06660441954559601</v>
      </c>
      <c r="F1227">
        <v>-0.508118746924717</v>
      </c>
      <c r="G1227">
        <v>-0.290009469696969</v>
      </c>
      <c r="H1227">
        <v>0.486618451121036</v>
      </c>
      <c r="I1227">
        <v>1.067919324254438</v>
      </c>
    </row>
    <row r="1228" spans="1:9">
      <c r="A1228" s="1" t="s">
        <v>1240</v>
      </c>
      <c r="B1228">
        <f>HYPERLINK("https://www.suredividend.com/sure-analysis-research-database/","ON24 Inc")</f>
        <v>0</v>
      </c>
      <c r="C1228">
        <v>-0.08163265306122401</v>
      </c>
      <c r="D1228">
        <v>-0.132111861137897</v>
      </c>
      <c r="E1228">
        <v>-0.33283914010378</v>
      </c>
      <c r="F1228">
        <v>-0.481268011527377</v>
      </c>
      <c r="G1228">
        <v>-0.525316455696202</v>
      </c>
      <c r="H1228">
        <v>-0.8729172550127081</v>
      </c>
      <c r="I1228">
        <v>-0.8729172550127081</v>
      </c>
    </row>
    <row r="1229" spans="1:9">
      <c r="A1229" s="1" t="s">
        <v>1241</v>
      </c>
      <c r="B1229">
        <f>HYPERLINK("https://www.suredividend.com/sure-analysis-research-database/","Onto Innovation Inc.")</f>
        <v>0</v>
      </c>
      <c r="C1229">
        <v>-0.07343684431389001</v>
      </c>
      <c r="D1229">
        <v>0.028731169436247</v>
      </c>
      <c r="E1229">
        <v>-0.08747761399641801</v>
      </c>
      <c r="F1229">
        <v>-0.345648523165069</v>
      </c>
      <c r="G1229">
        <v>-0.07833588423542501</v>
      </c>
      <c r="H1229">
        <v>0.922228670922808</v>
      </c>
      <c r="I1229">
        <v>1.338983050847457</v>
      </c>
    </row>
    <row r="1230" spans="1:9">
      <c r="A1230" s="1" t="s">
        <v>1242</v>
      </c>
      <c r="B1230">
        <f>HYPERLINK("https://www.suredividend.com/sure-analysis-research-database/","Ooma Inc")</f>
        <v>0</v>
      </c>
      <c r="C1230">
        <v>0.109135004042037</v>
      </c>
      <c r="D1230">
        <v>0.155855096882898</v>
      </c>
      <c r="E1230">
        <v>-0.07609427609427501</v>
      </c>
      <c r="F1230">
        <v>-0.328767123287671</v>
      </c>
      <c r="G1230">
        <v>-0.298568507157464</v>
      </c>
      <c r="H1230">
        <v>-0.000728332119446</v>
      </c>
      <c r="I1230">
        <v>0.294339622641509</v>
      </c>
    </row>
    <row r="1231" spans="1:9">
      <c r="A1231" s="1" t="s">
        <v>1243</v>
      </c>
      <c r="B1231">
        <f>HYPERLINK("https://www.suredividend.com/sure-analysis-research-database/","Option Care Health Inc.")</f>
        <v>0</v>
      </c>
      <c r="C1231">
        <v>-0.004822182037371001</v>
      </c>
      <c r="D1231">
        <v>0.109170305676856</v>
      </c>
      <c r="E1231">
        <v>0.161449173408371</v>
      </c>
      <c r="F1231">
        <v>0.161040787623066</v>
      </c>
      <c r="G1231">
        <v>0.321857485988791</v>
      </c>
      <c r="H1231">
        <v>1.403202328966521</v>
      </c>
      <c r="I1231">
        <v>10.83512544802868</v>
      </c>
    </row>
    <row r="1232" spans="1:9">
      <c r="A1232" s="1" t="s">
        <v>1244</v>
      </c>
      <c r="B1232">
        <f>HYPERLINK("https://www.suredividend.com/sure-analysis-OPI/","Office Properties Income Trust")</f>
        <v>0</v>
      </c>
      <c r="C1232">
        <v>-0.311875693673695</v>
      </c>
      <c r="D1232">
        <v>-0.368738291113464</v>
      </c>
      <c r="E1232">
        <v>-0.458321320298098</v>
      </c>
      <c r="F1232">
        <v>-0.46411516338005</v>
      </c>
      <c r="G1232">
        <v>-0.484454644481585</v>
      </c>
      <c r="H1232">
        <v>-0.304644303130222</v>
      </c>
      <c r="I1232">
        <v>-0.810796500955935</v>
      </c>
    </row>
    <row r="1233" spans="1:9">
      <c r="A1233" s="1" t="s">
        <v>1245</v>
      </c>
      <c r="B1233">
        <f>HYPERLINK("https://www.suredividend.com/sure-analysis-research-database/","Opko Health Inc")</f>
        <v>0</v>
      </c>
      <c r="C1233">
        <v>-0.18552036199095</v>
      </c>
      <c r="D1233">
        <v>-0.359430604982206</v>
      </c>
      <c r="E1233">
        <v>-0.470588235294117</v>
      </c>
      <c r="F1233">
        <v>-0.6257796257796251</v>
      </c>
      <c r="G1233">
        <v>-0.5121951219512191</v>
      </c>
      <c r="H1233">
        <v>-0.61038961038961</v>
      </c>
      <c r="I1233">
        <v>-0.738372093023255</v>
      </c>
    </row>
    <row r="1234" spans="1:9">
      <c r="A1234" s="1" t="s">
        <v>1246</v>
      </c>
      <c r="B1234">
        <f>HYPERLINK("https://www.suredividend.com/sure-analysis-research-database/","Oportun Financial Corp")</f>
        <v>0</v>
      </c>
      <c r="C1234">
        <v>-0.237606837606837</v>
      </c>
      <c r="D1234">
        <v>-0.493757094211123</v>
      </c>
      <c r="E1234">
        <v>-0.683013503909026</v>
      </c>
      <c r="F1234">
        <v>-0.779753086419753</v>
      </c>
      <c r="G1234">
        <v>-0.8233663366336631</v>
      </c>
      <c r="H1234">
        <v>-0.6963921034717491</v>
      </c>
      <c r="I1234">
        <v>-0.7241805813234381</v>
      </c>
    </row>
    <row r="1235" spans="1:9">
      <c r="A1235" s="1" t="s">
        <v>1247</v>
      </c>
      <c r="B1235">
        <f>HYPERLINK("https://www.suredividend.com/sure-analysis-research-database/","OptimizeRx Corp")</f>
        <v>0</v>
      </c>
      <c r="C1235">
        <v>-0.06</v>
      </c>
      <c r="D1235">
        <v>-0.500829737802854</v>
      </c>
      <c r="E1235">
        <v>-0.6023268112109991</v>
      </c>
      <c r="F1235">
        <v>-0.7578489776203511</v>
      </c>
      <c r="G1235">
        <v>-0.811576046103733</v>
      </c>
      <c r="H1235">
        <v>-0.210084033613445</v>
      </c>
      <c r="I1235">
        <v>10.56923076923077</v>
      </c>
    </row>
    <row r="1236" spans="1:9">
      <c r="A1236" s="1" t="s">
        <v>1248</v>
      </c>
      <c r="B1236">
        <f>HYPERLINK("https://www.suredividend.com/sure-analysis-research-database/","Oppenheimer Holdings Inc")</f>
        <v>0</v>
      </c>
      <c r="C1236">
        <v>-0.117376647257125</v>
      </c>
      <c r="D1236">
        <v>-0.16089539453941</v>
      </c>
      <c r="E1236">
        <v>-0.183224335377163</v>
      </c>
      <c r="F1236">
        <v>-0.371299837585791</v>
      </c>
      <c r="G1236">
        <v>-0.4035328253697371</v>
      </c>
      <c r="H1236">
        <v>0.270765768747104</v>
      </c>
      <c r="I1236">
        <v>0.8304309139443241</v>
      </c>
    </row>
    <row r="1237" spans="1:9">
      <c r="A1237" s="1" t="s">
        <v>1249</v>
      </c>
      <c r="B1237">
        <f>HYPERLINK("https://www.suredividend.com/sure-analysis-research-database/","Ormat Technologies Inc")</f>
        <v>0</v>
      </c>
      <c r="C1237">
        <v>-0.126515387006527</v>
      </c>
      <c r="D1237">
        <v>0.061287796575175</v>
      </c>
      <c r="E1237">
        <v>0.04467956963663</v>
      </c>
      <c r="F1237">
        <v>0.067911845967334</v>
      </c>
      <c r="G1237">
        <v>0.208340559964796</v>
      </c>
      <c r="H1237">
        <v>0.177808577464316</v>
      </c>
      <c r="I1237">
        <v>0.397516300212362</v>
      </c>
    </row>
    <row r="1238" spans="1:9">
      <c r="A1238" s="1" t="s">
        <v>1250</v>
      </c>
      <c r="B1238">
        <f>HYPERLINK("https://www.suredividend.com/sure-analysis-ORC/","Orchid Island Capital Inc")</f>
        <v>0</v>
      </c>
      <c r="C1238">
        <v>-0.345327656305022</v>
      </c>
      <c r="D1238">
        <v>-0.376633669402467</v>
      </c>
      <c r="E1238">
        <v>-0.388109272613027</v>
      </c>
      <c r="F1238">
        <v>-0.565826627884758</v>
      </c>
      <c r="G1238">
        <v>-0.594688336141115</v>
      </c>
      <c r="H1238">
        <v>-0.5483707114541581</v>
      </c>
      <c r="I1238">
        <v>-0.6412972935047621</v>
      </c>
    </row>
    <row r="1239" spans="1:9">
      <c r="A1239" s="1" t="s">
        <v>1251</v>
      </c>
      <c r="B1239">
        <f>HYPERLINK("https://www.suredividend.com/sure-analysis-research-database/","Organogenesis Holdings Inc")</f>
        <v>0</v>
      </c>
      <c r="C1239">
        <v>-0.129729729729729</v>
      </c>
      <c r="D1239">
        <v>-0.368627450980392</v>
      </c>
      <c r="E1239">
        <v>-0.5898089171974521</v>
      </c>
      <c r="F1239">
        <v>-0.651515151515151</v>
      </c>
      <c r="G1239">
        <v>-0.743016759776536</v>
      </c>
      <c r="H1239">
        <v>-0.170103092783505</v>
      </c>
      <c r="I1239">
        <v>-0.677354709418837</v>
      </c>
    </row>
    <row r="1240" spans="1:9">
      <c r="A1240" s="1" t="s">
        <v>1252</v>
      </c>
      <c r="B1240">
        <f>HYPERLINK("https://www.suredividend.com/sure-analysis-research-database/","ORIC Pharmaceuticals Inc")</f>
        <v>0</v>
      </c>
      <c r="C1240">
        <v>-0.191304347826086</v>
      </c>
      <c r="D1240">
        <v>-0.435222672064777</v>
      </c>
      <c r="E1240">
        <v>-0.446428571428571</v>
      </c>
      <c r="F1240">
        <v>-0.8102040816326531</v>
      </c>
      <c r="G1240">
        <v>-0.8195342820181111</v>
      </c>
      <c r="H1240">
        <v>-0.890373280943025</v>
      </c>
      <c r="I1240">
        <v>-0.89173457508731</v>
      </c>
    </row>
    <row r="1241" spans="1:9">
      <c r="A1241" s="1" t="s">
        <v>1253</v>
      </c>
      <c r="B1241">
        <f>HYPERLINK("https://www.suredividend.com/sure-analysis-research-database/","Oramed Pharmaceuticals, Inc")</f>
        <v>0</v>
      </c>
      <c r="C1241">
        <v>-0.309859154929577</v>
      </c>
      <c r="D1241">
        <v>-0.282926829268292</v>
      </c>
      <c r="E1241">
        <v>-0.262233375156838</v>
      </c>
      <c r="F1241">
        <v>-0.5882352941176471</v>
      </c>
      <c r="G1241">
        <v>-0.740167918692001</v>
      </c>
      <c r="H1241">
        <v>1.177777777777777</v>
      </c>
      <c r="I1241">
        <v>-0.452003727865796</v>
      </c>
    </row>
    <row r="1242" spans="1:9">
      <c r="A1242" s="1" t="s">
        <v>1254</v>
      </c>
      <c r="B1242">
        <f>HYPERLINK("https://www.suredividend.com/sure-analysis-research-database/","Orrstown Financial Services, Inc.")</f>
        <v>0</v>
      </c>
      <c r="C1242">
        <v>-0.08555729984301401</v>
      </c>
      <c r="D1242">
        <v>-0.020773882820675</v>
      </c>
      <c r="E1242">
        <v>0.066127349598257</v>
      </c>
      <c r="F1242">
        <v>-0.053826318247345</v>
      </c>
      <c r="G1242">
        <v>-0.017391744403771</v>
      </c>
      <c r="H1242">
        <v>0.829057682042264</v>
      </c>
      <c r="I1242">
        <v>0.08386208436447501</v>
      </c>
    </row>
    <row r="1243" spans="1:9">
      <c r="A1243" s="1" t="s">
        <v>1255</v>
      </c>
      <c r="B1243">
        <f>HYPERLINK("https://www.suredividend.com/sure-analysis-research-database/","Old Second Bancorporation Inc.")</f>
        <v>0</v>
      </c>
      <c r="C1243">
        <v>-0.019679300291545</v>
      </c>
      <c r="D1243">
        <v>-0.057582084950742</v>
      </c>
      <c r="E1243">
        <v>-0.038640229868626</v>
      </c>
      <c r="F1243">
        <v>0.079878925098955</v>
      </c>
      <c r="G1243">
        <v>0.008676870926857001</v>
      </c>
      <c r="H1243">
        <v>0.6199744658299801</v>
      </c>
      <c r="I1243">
        <v>0.034917899078191</v>
      </c>
    </row>
    <row r="1244" spans="1:9">
      <c r="A1244" s="1" t="s">
        <v>1256</v>
      </c>
      <c r="B1244">
        <f>HYPERLINK("https://www.suredividend.com/sure-analysis-research-database/","OSI Systems, Inc.")</f>
        <v>0</v>
      </c>
      <c r="C1244">
        <v>-0.100542449854926</v>
      </c>
      <c r="D1244">
        <v>-0.18921992267455</v>
      </c>
      <c r="E1244">
        <v>-0.115823412698412</v>
      </c>
      <c r="F1244">
        <v>-0.234978540772532</v>
      </c>
      <c r="G1244">
        <v>-0.266687236449655</v>
      </c>
      <c r="H1244">
        <v>-0.114285714285714</v>
      </c>
      <c r="I1244">
        <v>-0.251129083079508</v>
      </c>
    </row>
    <row r="1245" spans="1:9">
      <c r="A1245" s="1" t="s">
        <v>1257</v>
      </c>
      <c r="B1245">
        <f>HYPERLINK("https://www.suredividend.com/sure-analysis-research-database/","OneSpan Inc")</f>
        <v>0</v>
      </c>
      <c r="C1245">
        <v>-0.222325581395348</v>
      </c>
      <c r="D1245">
        <v>-0.301003344481605</v>
      </c>
      <c r="E1245">
        <v>-0.414565826330532</v>
      </c>
      <c r="F1245">
        <v>-0.506202008269344</v>
      </c>
      <c r="G1245">
        <v>-0.576064908722109</v>
      </c>
      <c r="H1245">
        <v>-0.6637168141592921</v>
      </c>
      <c r="I1245">
        <v>-0.333864541832669</v>
      </c>
    </row>
    <row r="1246" spans="1:9">
      <c r="A1246" s="1" t="s">
        <v>1258</v>
      </c>
      <c r="B1246">
        <f>HYPERLINK("https://www.suredividend.com/sure-analysis-research-database/","Overstock.com Inc")</f>
        <v>0</v>
      </c>
      <c r="C1246">
        <v>-0.088409328228332</v>
      </c>
      <c r="D1246">
        <v>-0.039251650770359</v>
      </c>
      <c r="E1246">
        <v>-0.352533992583436</v>
      </c>
      <c r="F1246">
        <v>-0.556176919166242</v>
      </c>
      <c r="G1246">
        <v>-0.665431783341849</v>
      </c>
      <c r="H1246">
        <v>-0.685329808963114</v>
      </c>
      <c r="I1246">
        <v>-0.06797153024911</v>
      </c>
    </row>
    <row r="1247" spans="1:9">
      <c r="A1247" s="1" t="s">
        <v>1259</v>
      </c>
      <c r="B1247">
        <f>HYPERLINK("https://www.suredividend.com/sure-analysis-research-database/","Orasure Technologies Inc.")</f>
        <v>0</v>
      </c>
      <c r="C1247">
        <v>-0.077108433734939</v>
      </c>
      <c r="D1247">
        <v>0.268211920529801</v>
      </c>
      <c r="E1247">
        <v>-0.456737588652482</v>
      </c>
      <c r="F1247">
        <v>-0.5592635212888371</v>
      </c>
      <c r="G1247">
        <v>-0.657423971377459</v>
      </c>
      <c r="H1247">
        <v>-0.7509752925877761</v>
      </c>
      <c r="I1247">
        <v>-0.8256713700500681</v>
      </c>
    </row>
    <row r="1248" spans="1:9">
      <c r="A1248" s="1" t="s">
        <v>1260</v>
      </c>
      <c r="B1248">
        <f>HYPERLINK("https://www.suredividend.com/sure-analysis-research-database/","OneSpaWorld Holdings Limited")</f>
        <v>0</v>
      </c>
      <c r="C1248">
        <v>-0.126898047722342</v>
      </c>
      <c r="D1248">
        <v>0.1134163208852</v>
      </c>
      <c r="E1248">
        <v>-0.219204655674102</v>
      </c>
      <c r="F1248">
        <v>-0.196606786427145</v>
      </c>
      <c r="G1248">
        <v>-0.246959775491113</v>
      </c>
      <c r="H1248">
        <v>0.067639257294429</v>
      </c>
      <c r="I1248">
        <v>-0.341830936398793</v>
      </c>
    </row>
    <row r="1249" spans="1:9">
      <c r="A1249" s="1" t="s">
        <v>1261</v>
      </c>
      <c r="B1249">
        <f>HYPERLINK("https://www.suredividend.com/sure-analysis-research-database/","Outlook Therapeutics Inc")</f>
        <v>0</v>
      </c>
      <c r="C1249">
        <v>0.061403508771929</v>
      </c>
      <c r="D1249">
        <v>-0.024193548387096</v>
      </c>
      <c r="E1249">
        <v>-0.3423913043478261</v>
      </c>
      <c r="F1249">
        <v>-0.110294117647058</v>
      </c>
      <c r="G1249">
        <v>-0.452488687782805</v>
      </c>
      <c r="H1249">
        <v>0.6022245762711861</v>
      </c>
      <c r="I1249">
        <v>-0.110294117647058</v>
      </c>
    </row>
    <row r="1250" spans="1:9">
      <c r="A1250" s="1" t="s">
        <v>1262</v>
      </c>
      <c r="B1250">
        <f>HYPERLINK("https://www.suredividend.com/sure-analysis-research-database/","Ontrak Inc")</f>
        <v>0</v>
      </c>
      <c r="C1250">
        <v>-0.332167832167832</v>
      </c>
      <c r="D1250">
        <v>-0.6500763358778621</v>
      </c>
      <c r="E1250">
        <v>-0.758736842105263</v>
      </c>
      <c r="F1250">
        <v>-0.927122416534181</v>
      </c>
      <c r="G1250">
        <v>-0.9490100111234701</v>
      </c>
      <c r="H1250">
        <v>-0.9928464419475651</v>
      </c>
      <c r="I1250">
        <v>-0.8933953488372091</v>
      </c>
    </row>
    <row r="1251" spans="1:9">
      <c r="A1251" s="1" t="s">
        <v>1263</v>
      </c>
      <c r="B1251">
        <f>HYPERLINK("https://www.suredividend.com/sure-analysis-OTTR/","Otter Tail Corporation")</f>
        <v>0</v>
      </c>
      <c r="C1251">
        <v>-0.167640807651434</v>
      </c>
      <c r="D1251">
        <v>-0.05256695989815</v>
      </c>
      <c r="E1251">
        <v>-0.000263256563464</v>
      </c>
      <c r="F1251">
        <v>-0.106140469754138</v>
      </c>
      <c r="G1251">
        <v>0.102804001492463</v>
      </c>
      <c r="H1251">
        <v>0.7021068529766491</v>
      </c>
      <c r="I1251">
        <v>0.606852072675052</v>
      </c>
    </row>
    <row r="1252" spans="1:9">
      <c r="A1252" s="1" t="s">
        <v>1264</v>
      </c>
      <c r="B1252">
        <f>HYPERLINK("https://www.suredividend.com/sure-analysis-research-database/","Ouster Inc")</f>
        <v>0</v>
      </c>
      <c r="C1252">
        <v>-0.43804054054054</v>
      </c>
      <c r="D1252">
        <v>-0.5274431818181811</v>
      </c>
      <c r="E1252">
        <v>-0.802914691943127</v>
      </c>
      <c r="F1252">
        <v>-0.8400576923076921</v>
      </c>
      <c r="G1252">
        <v>-0.8771491875923191</v>
      </c>
      <c r="H1252">
        <v>-0.914257731958762</v>
      </c>
      <c r="I1252">
        <v>-0.914257731958762</v>
      </c>
    </row>
    <row r="1253" spans="1:9">
      <c r="A1253" s="1" t="s">
        <v>1265</v>
      </c>
      <c r="B1253">
        <f>HYPERLINK("https://www.suredividend.com/sure-analysis-research-database/","Outfront Media Inc")</f>
        <v>0</v>
      </c>
      <c r="C1253">
        <v>-0.198577958354494</v>
      </c>
      <c r="D1253">
        <v>-0.043949252971754</v>
      </c>
      <c r="E1253">
        <v>-0.389448840223636</v>
      </c>
      <c r="F1253">
        <v>-0.38575321136629</v>
      </c>
      <c r="G1253">
        <v>-0.364242893057435</v>
      </c>
      <c r="H1253">
        <v>0.098503306648102</v>
      </c>
      <c r="I1253">
        <v>-0.207190550595612</v>
      </c>
    </row>
    <row r="1254" spans="1:9">
      <c r="A1254" s="1" t="s">
        <v>1266</v>
      </c>
      <c r="B1254">
        <f>HYPERLINK("https://www.suredividend.com/sure-analysis-research-database/","Ovintiv Inc")</f>
        <v>0</v>
      </c>
      <c r="C1254">
        <v>0.026574109120812</v>
      </c>
      <c r="D1254">
        <v>0.246282495364053</v>
      </c>
      <c r="E1254">
        <v>0.024648717894627</v>
      </c>
      <c r="F1254">
        <v>0.607212150198984</v>
      </c>
      <c r="G1254">
        <v>0.4161820601035831</v>
      </c>
      <c r="H1254">
        <v>4.843431471192966</v>
      </c>
      <c r="I1254">
        <v>-0.038710652446133</v>
      </c>
    </row>
    <row r="1255" spans="1:9">
      <c r="A1255" s="1" t="s">
        <v>1267</v>
      </c>
      <c r="B1255">
        <f>HYPERLINK("https://www.suredividend.com/sure-analysis-research-database/","Oxford Industries, Inc.")</f>
        <v>0</v>
      </c>
      <c r="C1255">
        <v>-0.032244056019976</v>
      </c>
      <c r="D1255">
        <v>0.013971974151335</v>
      </c>
      <c r="E1255">
        <v>-0.007782794147766001</v>
      </c>
      <c r="F1255">
        <v>-0.106975588595655</v>
      </c>
      <c r="G1255">
        <v>0.018202918680836</v>
      </c>
      <c r="H1255">
        <v>1.072204012367203</v>
      </c>
      <c r="I1255">
        <v>0.5376600794877451</v>
      </c>
    </row>
    <row r="1256" spans="1:9">
      <c r="A1256" s="1" t="s">
        <v>1268</v>
      </c>
      <c r="B1256">
        <f>HYPERLINK("https://www.suredividend.com/sure-analysis-research-database/","Oyster Point Pharma Inc")</f>
        <v>0</v>
      </c>
      <c r="C1256">
        <v>-0.03750000000000001</v>
      </c>
      <c r="D1256">
        <v>0.523076923076923</v>
      </c>
      <c r="E1256">
        <v>-0.220472440944881</v>
      </c>
      <c r="F1256">
        <v>-0.6204819277108431</v>
      </c>
      <c r="G1256">
        <v>-0.372850678733031</v>
      </c>
      <c r="H1256">
        <v>-0.724781572676727</v>
      </c>
      <c r="I1256">
        <v>-0.6309904153354631</v>
      </c>
    </row>
    <row r="1257" spans="1:9">
      <c r="A1257" s="1" t="s">
        <v>1269</v>
      </c>
      <c r="B1257">
        <f>HYPERLINK("https://www.suredividend.com/sure-analysis-research-database/","Pacific Biosciences of California Inc")</f>
        <v>0</v>
      </c>
      <c r="C1257">
        <v>-0.142002989536621</v>
      </c>
      <c r="D1257">
        <v>0.05321100917431101</v>
      </c>
      <c r="E1257">
        <v>-0.323910482921083</v>
      </c>
      <c r="F1257">
        <v>-0.719452590420332</v>
      </c>
      <c r="G1257">
        <v>-0.7692926045016071</v>
      </c>
      <c r="H1257">
        <v>-0.574814814814814</v>
      </c>
      <c r="I1257">
        <v>0.237068965517241</v>
      </c>
    </row>
    <row r="1258" spans="1:9">
      <c r="A1258" s="1" t="s">
        <v>1270</v>
      </c>
      <c r="B1258">
        <f>HYPERLINK("https://www.suredividend.com/sure-analysis-research-database/","Ranpak Holdings Corp")</f>
        <v>0</v>
      </c>
      <c r="C1258">
        <v>-0.4015296367112811</v>
      </c>
      <c r="D1258">
        <v>-0.537666174298375</v>
      </c>
      <c r="E1258">
        <v>-0.826976229961304</v>
      </c>
      <c r="F1258">
        <v>-0.916711016498137</v>
      </c>
      <c r="G1258">
        <v>-0.8908266480641781</v>
      </c>
      <c r="H1258">
        <v>-0.7133699633699631</v>
      </c>
      <c r="I1258">
        <v>-0.6722513089005231</v>
      </c>
    </row>
    <row r="1259" spans="1:9">
      <c r="A1259" s="1" t="s">
        <v>1271</v>
      </c>
      <c r="B1259">
        <f>HYPERLINK("https://www.suredividend.com/sure-analysis-research-database/","Phibro Animal Health Corp.")</f>
        <v>0</v>
      </c>
      <c r="C1259">
        <v>-0.125248508946322</v>
      </c>
      <c r="D1259">
        <v>-0.324808184143222</v>
      </c>
      <c r="E1259">
        <v>-0.314285714285714</v>
      </c>
      <c r="F1259">
        <v>-0.349913814331445</v>
      </c>
      <c r="G1259">
        <v>-0.393869819768109</v>
      </c>
      <c r="H1259">
        <v>-0.26474274351219</v>
      </c>
      <c r="I1259">
        <v>-0.6198977755381181</v>
      </c>
    </row>
    <row r="1260" spans="1:9">
      <c r="A1260" s="1" t="s">
        <v>1272</v>
      </c>
      <c r="B1260">
        <f>HYPERLINK("https://www.suredividend.com/sure-analysis-research-database/","Par Technology Corp.")</f>
        <v>0</v>
      </c>
      <c r="C1260">
        <v>-0.184247538677918</v>
      </c>
      <c r="D1260">
        <v>-0.283242708848245</v>
      </c>
      <c r="E1260">
        <v>-0.220430107526881</v>
      </c>
      <c r="F1260">
        <v>-0.450445328785294</v>
      </c>
      <c r="G1260">
        <v>-0.5539833897262381</v>
      </c>
      <c r="H1260">
        <v>-0.19734292831442</v>
      </c>
      <c r="I1260">
        <v>1.799227799227799</v>
      </c>
    </row>
    <row r="1261" spans="1:9">
      <c r="A1261" s="1" t="s">
        <v>1273</v>
      </c>
      <c r="B1261">
        <f>HYPERLINK("https://www.suredividend.com/sure-analysis-research-database/","Par Pacific Holdings Inc")</f>
        <v>0</v>
      </c>
      <c r="C1261">
        <v>-0.019417475728155</v>
      </c>
      <c r="D1261">
        <v>0.165384615384615</v>
      </c>
      <c r="E1261">
        <v>0.279380717804363</v>
      </c>
      <c r="F1261">
        <v>0.102486355366889</v>
      </c>
      <c r="G1261">
        <v>0.18359375</v>
      </c>
      <c r="H1261">
        <v>1.427236315086782</v>
      </c>
      <c r="I1261">
        <v>-0.128057553956834</v>
      </c>
    </row>
    <row r="1262" spans="1:9">
      <c r="A1262" s="1" t="s">
        <v>1274</v>
      </c>
      <c r="B1262">
        <f>HYPERLINK("https://www.suredividend.com/sure-analysis-research-database/","Passage Bio Inc")</f>
        <v>0</v>
      </c>
      <c r="C1262">
        <v>-0.270718232044198</v>
      </c>
      <c r="D1262">
        <v>-0.465587044534413</v>
      </c>
      <c r="E1262">
        <v>-0.591331269349845</v>
      </c>
      <c r="F1262">
        <v>-0.792125984251968</v>
      </c>
      <c r="G1262">
        <v>-0.8588235294117641</v>
      </c>
      <c r="H1262">
        <v>-0.9136125654450261</v>
      </c>
      <c r="I1262">
        <v>-0.94054054054054</v>
      </c>
    </row>
    <row r="1263" spans="1:9">
      <c r="A1263" s="1" t="s">
        <v>1275</v>
      </c>
      <c r="B1263">
        <f>HYPERLINK("https://www.suredividend.com/sure-analysis-research-database/","Patrick Industries, Inc.")</f>
        <v>0</v>
      </c>
      <c r="C1263">
        <v>-0.09838032393521201</v>
      </c>
      <c r="D1263">
        <v>-0.184738389437941</v>
      </c>
      <c r="E1263">
        <v>-0.194562537958629</v>
      </c>
      <c r="F1263">
        <v>-0.4322903289165541</v>
      </c>
      <c r="G1263">
        <v>-0.469747127355944</v>
      </c>
      <c r="H1263">
        <v>-0.278149989193862</v>
      </c>
      <c r="I1263">
        <v>-0.155641695457992</v>
      </c>
    </row>
    <row r="1264" spans="1:9">
      <c r="A1264" s="1" t="s">
        <v>1276</v>
      </c>
      <c r="B1264">
        <f>HYPERLINK("https://www.suredividend.com/sure-analysis-research-database/","PAVmed Inc")</f>
        <v>0</v>
      </c>
      <c r="C1264">
        <v>-0.186991869918699</v>
      </c>
      <c r="D1264">
        <v>-0.065420560747663</v>
      </c>
      <c r="E1264">
        <v>-0.082568807339449</v>
      </c>
      <c r="F1264">
        <v>-0.593495934959349</v>
      </c>
      <c r="G1264">
        <v>-0.8787878787878781</v>
      </c>
      <c r="H1264">
        <v>-0.5098039215686271</v>
      </c>
      <c r="I1264">
        <v>-0.8</v>
      </c>
    </row>
    <row r="1265" spans="1:9">
      <c r="A1265" s="1" t="s">
        <v>1277</v>
      </c>
      <c r="B1265">
        <f>HYPERLINK("https://www.suredividend.com/sure-analysis-research-database/","Paya Holdings Inc")</f>
        <v>0</v>
      </c>
      <c r="C1265">
        <v>-0.116490166414523</v>
      </c>
      <c r="D1265">
        <v>-0.120481927710843</v>
      </c>
      <c r="E1265">
        <v>0.106060606060605</v>
      </c>
      <c r="F1265">
        <v>-0.078864353312302</v>
      </c>
      <c r="G1265">
        <v>-0.397938144329896</v>
      </c>
      <c r="H1265">
        <v>-0.519341563786008</v>
      </c>
      <c r="I1265">
        <v>-0.519341563786008</v>
      </c>
    </row>
    <row r="1266" spans="1:9">
      <c r="A1266" s="1" t="s">
        <v>1278</v>
      </c>
      <c r="B1266">
        <f>HYPERLINK("https://www.suredividend.com/sure-analysis-research-database/","PBF Energy Inc")</f>
        <v>0</v>
      </c>
      <c r="C1266">
        <v>0.142857142857142</v>
      </c>
      <c r="D1266">
        <v>0.336595595945473</v>
      </c>
      <c r="E1266">
        <v>0.457872664887533</v>
      </c>
      <c r="F1266">
        <v>1.94834232845027</v>
      </c>
      <c r="G1266">
        <v>1.685393258426966</v>
      </c>
      <c r="H1266">
        <v>5.19773095623987</v>
      </c>
      <c r="I1266">
        <v>0.566320825431414</v>
      </c>
    </row>
    <row r="1267" spans="1:9">
      <c r="A1267" s="1" t="s">
        <v>1279</v>
      </c>
      <c r="B1267">
        <f>HYPERLINK("https://www.suredividend.com/sure-analysis-research-database/","Pioneer Bancorp Inc")</f>
        <v>0</v>
      </c>
      <c r="C1267">
        <v>0.054450261780104</v>
      </c>
      <c r="D1267">
        <v>0.033880903490759</v>
      </c>
      <c r="E1267">
        <v>-0.014677103718199</v>
      </c>
      <c r="F1267">
        <v>-0.110424028268551</v>
      </c>
      <c r="G1267">
        <v>-0.20395256916996</v>
      </c>
      <c r="H1267">
        <v>0.085129310344827</v>
      </c>
      <c r="I1267">
        <v>-0.31728813559322</v>
      </c>
    </row>
    <row r="1268" spans="1:9">
      <c r="A1268" s="1" t="s">
        <v>1280</v>
      </c>
      <c r="B1268">
        <f>HYPERLINK("https://www.suredividend.com/sure-analysis-research-database/","Prestige Consumer Healthcare Inc")</f>
        <v>0</v>
      </c>
      <c r="C1268">
        <v>-0.037989255564082</v>
      </c>
      <c r="D1268">
        <v>-0.145389466507584</v>
      </c>
      <c r="E1268">
        <v>-0.06104868913857601</v>
      </c>
      <c r="F1268">
        <v>-0.173289365210222</v>
      </c>
      <c r="G1268">
        <v>-0.136113025499655</v>
      </c>
      <c r="H1268">
        <v>0.349300322927879</v>
      </c>
      <c r="I1268">
        <v>0.043496357960457</v>
      </c>
    </row>
    <row r="1269" spans="1:9">
      <c r="A1269" s="1" t="s">
        <v>1281</v>
      </c>
      <c r="B1269">
        <f>HYPERLINK("https://www.suredividend.com/sure-analysis-research-database/","Pitney Bowes, Inc.")</f>
        <v>0</v>
      </c>
      <c r="C1269">
        <v>-0.119601328903654</v>
      </c>
      <c r="D1269">
        <v>-0.263479710950528</v>
      </c>
      <c r="E1269">
        <v>-0.450982017071351</v>
      </c>
      <c r="F1269">
        <v>-0.585866320773883</v>
      </c>
      <c r="G1269">
        <v>-0.620474335472044</v>
      </c>
      <c r="H1269">
        <v>-0.531512419340581</v>
      </c>
      <c r="I1269">
        <v>-0.7578471238634801</v>
      </c>
    </row>
    <row r="1270" spans="1:9">
      <c r="A1270" s="1" t="s">
        <v>1282</v>
      </c>
      <c r="B1270">
        <f>HYPERLINK("https://www.suredividend.com/sure-analysis-research-database/","Puma Biotechnology Inc")</f>
        <v>0</v>
      </c>
      <c r="C1270">
        <v>-0.116788321167883</v>
      </c>
      <c r="D1270">
        <v>-0.174061433447099</v>
      </c>
      <c r="E1270">
        <v>-0.201320132013201</v>
      </c>
      <c r="F1270">
        <v>-0.203947368421052</v>
      </c>
      <c r="G1270">
        <v>-0.604575163398692</v>
      </c>
      <c r="H1270">
        <v>-0.7582417582417581</v>
      </c>
      <c r="I1270">
        <v>-0.980261011419249</v>
      </c>
    </row>
    <row r="1271" spans="1:9">
      <c r="A1271" s="1" t="s">
        <v>1283</v>
      </c>
      <c r="B1271">
        <f>HYPERLINK("https://www.suredividend.com/sure-analysis-research-database/","PotlatchDeltic Corp")</f>
        <v>0</v>
      </c>
      <c r="C1271">
        <v>-0.090663908786072</v>
      </c>
      <c r="D1271">
        <v>-0.05075427570689001</v>
      </c>
      <c r="E1271">
        <v>-0.156804442431522</v>
      </c>
      <c r="F1271">
        <v>-0.269729414453286</v>
      </c>
      <c r="G1271">
        <v>-0.08480220228820801</v>
      </c>
      <c r="H1271">
        <v>0.052176348884181</v>
      </c>
      <c r="I1271">
        <v>0.166337992874497</v>
      </c>
    </row>
    <row r="1272" spans="1:9">
      <c r="A1272" s="1" t="s">
        <v>1284</v>
      </c>
      <c r="B1272">
        <f>HYPERLINK("https://www.suredividend.com/sure-analysis-research-database/","Pacira BioSciences Inc")</f>
        <v>0</v>
      </c>
      <c r="C1272">
        <v>0.012556053811659</v>
      </c>
      <c r="D1272">
        <v>-0.009127611023345</v>
      </c>
      <c r="E1272">
        <v>-0.308549730524252</v>
      </c>
      <c r="F1272">
        <v>-0.06182482964932601</v>
      </c>
      <c r="G1272">
        <v>0.176777152386908</v>
      </c>
      <c r="H1272">
        <v>-0.026220458858029</v>
      </c>
      <c r="I1272">
        <v>0.615164520743919</v>
      </c>
    </row>
    <row r="1273" spans="1:9">
      <c r="A1273" s="1" t="s">
        <v>1285</v>
      </c>
      <c r="B1273">
        <f>HYPERLINK("https://www.suredividend.com/sure-analysis-research-database/","PCSB Financial Corp")</f>
        <v>0</v>
      </c>
      <c r="C1273">
        <v>-0.031399680681213</v>
      </c>
      <c r="D1273">
        <v>-0.039603176697184</v>
      </c>
      <c r="E1273">
        <v>-0.023091539543322</v>
      </c>
      <c r="F1273">
        <v>-0.033857456815551</v>
      </c>
      <c r="G1273">
        <v>-0.008925119391850001</v>
      </c>
      <c r="H1273">
        <v>0.44614308870737</v>
      </c>
      <c r="I1273">
        <v>0.002048142356905</v>
      </c>
    </row>
    <row r="1274" spans="1:9">
      <c r="A1274" s="1" t="s">
        <v>1286</v>
      </c>
      <c r="B1274">
        <f>HYPERLINK("https://www.suredividend.com/sure-analysis-research-database/","PureCycle Technologies Inc")</f>
        <v>0</v>
      </c>
      <c r="C1274">
        <v>-0.189773844641101</v>
      </c>
      <c r="D1274">
        <v>0.1671388101983</v>
      </c>
      <c r="E1274">
        <v>0.119565217391304</v>
      </c>
      <c r="F1274">
        <v>-0.138975966562173</v>
      </c>
      <c r="G1274">
        <v>-0.4180790960451971</v>
      </c>
      <c r="H1274">
        <v>-0.165991902834008</v>
      </c>
      <c r="I1274">
        <v>-0.192156862745097</v>
      </c>
    </row>
    <row r="1275" spans="1:9">
      <c r="A1275" s="1" t="s">
        <v>1287</v>
      </c>
      <c r="B1275">
        <f>HYPERLINK("https://www.suredividend.com/sure-analysis-research-database/","Vaxcyte Inc")</f>
        <v>0</v>
      </c>
      <c r="C1275">
        <v>-0.156238953693884</v>
      </c>
      <c r="D1275">
        <v>0.0008385744234800001</v>
      </c>
      <c r="E1275">
        <v>-0.06975837879968801</v>
      </c>
      <c r="F1275">
        <v>0.003362757461118</v>
      </c>
      <c r="G1275">
        <v>-0.01159420289855</v>
      </c>
      <c r="H1275">
        <v>-0.5088477366255141</v>
      </c>
      <c r="I1275">
        <v>-0.08718929254302001</v>
      </c>
    </row>
    <row r="1276" spans="1:9">
      <c r="A1276" s="1" t="s">
        <v>1288</v>
      </c>
      <c r="B1276">
        <f>HYPERLINK("https://www.suredividend.com/sure-analysis-research-database/","Pure Cycle Corp.")</f>
        <v>0</v>
      </c>
      <c r="C1276">
        <v>-0.153688524590163</v>
      </c>
      <c r="D1276">
        <v>-0.224413145539906</v>
      </c>
      <c r="E1276">
        <v>-0.312811980033277</v>
      </c>
      <c r="F1276">
        <v>-0.434246575342465</v>
      </c>
      <c r="G1276">
        <v>-0.409578270192995</v>
      </c>
      <c r="H1276">
        <v>-0.163967611336032</v>
      </c>
      <c r="I1276">
        <v>0.08684210526315701</v>
      </c>
    </row>
    <row r="1277" spans="1:9">
      <c r="A1277" s="1" t="s">
        <v>1289</v>
      </c>
      <c r="B1277">
        <f>HYPERLINK("https://www.suredividend.com/sure-analysis-research-database/","Pagerduty Inc")</f>
        <v>0</v>
      </c>
      <c r="C1277">
        <v>-0.13095238095238</v>
      </c>
      <c r="D1277">
        <v>-0.212796549245147</v>
      </c>
      <c r="E1277">
        <v>-0.301880777813197</v>
      </c>
      <c r="F1277">
        <v>-0.36978417266187</v>
      </c>
      <c r="G1277">
        <v>-0.44500760263558</v>
      </c>
      <c r="H1277">
        <v>-0.258632362897765</v>
      </c>
      <c r="I1277">
        <v>-0.427450980392156</v>
      </c>
    </row>
    <row r="1278" spans="1:9">
      <c r="A1278" s="1" t="s">
        <v>1290</v>
      </c>
      <c r="B1278">
        <f>HYPERLINK("https://www.suredividend.com/sure-analysis-research-database/","PDC Energy Inc")</f>
        <v>0</v>
      </c>
      <c r="C1278">
        <v>0.008631132646880001</v>
      </c>
      <c r="D1278">
        <v>0.132199264350935</v>
      </c>
      <c r="E1278">
        <v>-0.081723949207382</v>
      </c>
      <c r="F1278">
        <v>0.383540417824636</v>
      </c>
      <c r="G1278">
        <v>0.394159224243845</v>
      </c>
      <c r="H1278">
        <v>4.426564994949</v>
      </c>
      <c r="I1278">
        <v>0.3994608892595941</v>
      </c>
    </row>
    <row r="1279" spans="1:9">
      <c r="A1279" s="1" t="s">
        <v>1291</v>
      </c>
      <c r="B1279">
        <f>HYPERLINK("https://www.suredividend.com/sure-analysis-PDCO/","Patterson Companies Inc.")</f>
        <v>0</v>
      </c>
      <c r="C1279">
        <v>-0.06779661016949101</v>
      </c>
      <c r="D1279">
        <v>-0.144093398693473</v>
      </c>
      <c r="E1279">
        <v>-0.252840976209039</v>
      </c>
      <c r="F1279">
        <v>-0.115771079073831</v>
      </c>
      <c r="G1279">
        <v>-0.200396957083756</v>
      </c>
      <c r="H1279">
        <v>0.071475459823905</v>
      </c>
      <c r="I1279">
        <v>-0.155222096451598</v>
      </c>
    </row>
    <row r="1280" spans="1:9">
      <c r="A1280" s="1" t="s">
        <v>1292</v>
      </c>
      <c r="B1280">
        <f>HYPERLINK("https://www.suredividend.com/sure-analysis-research-database/","PDF Solutions Inc.")</f>
        <v>0</v>
      </c>
      <c r="C1280">
        <v>-0.08444275389882</v>
      </c>
      <c r="D1280">
        <v>0.09858512094933801</v>
      </c>
      <c r="E1280">
        <v>0.03839516824849</v>
      </c>
      <c r="F1280">
        <v>-0.242843661528782</v>
      </c>
      <c r="G1280">
        <v>0.026001705029838</v>
      </c>
      <c r="H1280">
        <v>0.162240463544181</v>
      </c>
      <c r="I1280">
        <v>0.52728426395939</v>
      </c>
    </row>
    <row r="1281" spans="1:9">
      <c r="A1281" s="1" t="s">
        <v>1293</v>
      </c>
      <c r="B1281">
        <f>HYPERLINK("https://www.suredividend.com/sure-analysis-research-database/","PDL Biopharma Inc")</f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>
      <c r="A1282" s="1" t="s">
        <v>1294</v>
      </c>
      <c r="B1282">
        <f>HYPERLINK("https://www.suredividend.com/sure-analysis-PDM/","Piedmont Office Realty Trust Inc")</f>
        <v>0</v>
      </c>
      <c r="C1282">
        <v>-0.227053140096618</v>
      </c>
      <c r="D1282">
        <v>-0.236483369653395</v>
      </c>
      <c r="E1282">
        <v>-0.38615785973707</v>
      </c>
      <c r="F1282">
        <v>-0.4540211908025321</v>
      </c>
      <c r="G1282">
        <v>-0.4411879413014501</v>
      </c>
      <c r="H1282">
        <v>-0.24435033807451</v>
      </c>
      <c r="I1282">
        <v>-0.3864011147046411</v>
      </c>
    </row>
    <row r="1283" spans="1:9">
      <c r="A1283" s="1" t="s">
        <v>1295</v>
      </c>
      <c r="B1283">
        <f>HYPERLINK("https://www.suredividend.com/sure-analysis-research-database/","Pebblebrook Hotel Trust")</f>
        <v>0</v>
      </c>
      <c r="C1283">
        <v>-0.211856655402259</v>
      </c>
      <c r="D1283">
        <v>-0.166222448837694</v>
      </c>
      <c r="E1283">
        <v>-0.339092733694329</v>
      </c>
      <c r="F1283">
        <v>-0.355676450175745</v>
      </c>
      <c r="G1283">
        <v>-0.367544808065891</v>
      </c>
      <c r="H1283">
        <v>0.034805120092046</v>
      </c>
      <c r="I1283">
        <v>-0.560748833191393</v>
      </c>
    </row>
    <row r="1284" spans="1:9">
      <c r="A1284" s="1" t="s">
        <v>1296</v>
      </c>
      <c r="B1284">
        <f>HYPERLINK("https://www.suredividend.com/sure-analysis-research-database/","Peoples Bancorp, Inc. (Marietta, OH)")</f>
        <v>0</v>
      </c>
      <c r="C1284">
        <v>-0.031384208787578</v>
      </c>
      <c r="D1284">
        <v>0.112228059860023</v>
      </c>
      <c r="E1284">
        <v>-0.001195703642637</v>
      </c>
      <c r="F1284">
        <v>-0.043187113701482</v>
      </c>
      <c r="G1284">
        <v>-0.05442841616759701</v>
      </c>
      <c r="H1284">
        <v>0.5499450224139391</v>
      </c>
      <c r="I1284">
        <v>0.07273918022530401</v>
      </c>
    </row>
    <row r="1285" spans="1:9">
      <c r="A1285" s="1" t="s">
        <v>1297</v>
      </c>
      <c r="B1285">
        <f>HYPERLINK("https://www.suredividend.com/sure-analysis-PECO/","Phillips Edison &amp; Company Inc")</f>
        <v>0</v>
      </c>
      <c r="C1285">
        <v>-0.147435173573759</v>
      </c>
      <c r="D1285">
        <v>-0.150207930997713</v>
      </c>
      <c r="E1285">
        <v>-0.157281918424654</v>
      </c>
      <c r="F1285">
        <v>-0.112363791620516</v>
      </c>
      <c r="G1285">
        <v>-0.05154516483080501</v>
      </c>
      <c r="H1285">
        <v>0.062226714502041</v>
      </c>
      <c r="I1285">
        <v>0.062226714502041</v>
      </c>
    </row>
    <row r="1286" spans="1:9">
      <c r="A1286" s="1" t="s">
        <v>1298</v>
      </c>
      <c r="B1286">
        <f>HYPERLINK("https://www.suredividend.com/sure-analysis-research-database/","PetIQ Inc")</f>
        <v>0</v>
      </c>
      <c r="C1286">
        <v>-0.385585585585585</v>
      </c>
      <c r="D1286">
        <v>-0.618994413407821</v>
      </c>
      <c r="E1286">
        <v>-0.715951686797167</v>
      </c>
      <c r="F1286">
        <v>-0.699691765741963</v>
      </c>
      <c r="G1286">
        <v>-0.729793977812995</v>
      </c>
      <c r="H1286">
        <v>-0.7944544906570221</v>
      </c>
      <c r="I1286">
        <v>-0.734630350194552</v>
      </c>
    </row>
    <row r="1287" spans="1:9">
      <c r="A1287" s="1" t="s">
        <v>1299</v>
      </c>
      <c r="B1287">
        <f>HYPERLINK("https://www.suredividend.com/sure-analysis-PETS/","Petmed Express, Inc.")</f>
        <v>0</v>
      </c>
      <c r="C1287">
        <v>-0.06255924170616101</v>
      </c>
      <c r="D1287">
        <v>-0.08439914272356501</v>
      </c>
      <c r="E1287">
        <v>-0.195810734991584</v>
      </c>
      <c r="F1287">
        <v>-0.184131396917188</v>
      </c>
      <c r="G1287">
        <v>-0.213340598067951</v>
      </c>
      <c r="H1287">
        <v>-0.326269035965243</v>
      </c>
      <c r="I1287">
        <v>-0.327793920239248</v>
      </c>
    </row>
    <row r="1288" spans="1:9">
      <c r="A1288" s="1" t="s">
        <v>1300</v>
      </c>
      <c r="B1288">
        <f>HYPERLINK("https://www.suredividend.com/sure-analysis-research-database/","Preferred Bank (Los Angeles, CA)")</f>
        <v>0</v>
      </c>
      <c r="C1288">
        <v>-0.035342050961296</v>
      </c>
      <c r="D1288">
        <v>-0.030272936814223</v>
      </c>
      <c r="E1288">
        <v>-0.049854908915041</v>
      </c>
      <c r="F1288">
        <v>-0.057889621371818</v>
      </c>
      <c r="G1288">
        <v>-0.031584630348767</v>
      </c>
      <c r="H1288">
        <v>1.002025986000072</v>
      </c>
      <c r="I1288">
        <v>0.217856233556819</v>
      </c>
    </row>
    <row r="1289" spans="1:9">
      <c r="A1289" s="1" t="s">
        <v>1301</v>
      </c>
      <c r="B1289">
        <f>HYPERLINK("https://www.suredividend.com/sure-analysis-research-database/","Premier Financial Corp")</f>
        <v>0</v>
      </c>
      <c r="C1289">
        <v>-0.023747680890538</v>
      </c>
      <c r="D1289">
        <v>0.032497576711312</v>
      </c>
      <c r="E1289">
        <v>-0.057739003373659</v>
      </c>
      <c r="F1289">
        <v>-0.121535893155258</v>
      </c>
      <c r="G1289">
        <v>-0.151708995237834</v>
      </c>
      <c r="H1289">
        <v>0.6238836185879431</v>
      </c>
      <c r="I1289">
        <v>0.06333104312330701</v>
      </c>
    </row>
    <row r="1290" spans="1:9">
      <c r="A1290" s="1" t="s">
        <v>1302</v>
      </c>
      <c r="B1290">
        <f>HYPERLINK("https://www.suredividend.com/sure-analysis-research-database/","Performance Food Group Company")</f>
        <v>0</v>
      </c>
      <c r="C1290">
        <v>-0.127069695802849</v>
      </c>
      <c r="D1290">
        <v>-0.044467860906217</v>
      </c>
      <c r="E1290">
        <v>-0.080697485806974</v>
      </c>
      <c r="F1290">
        <v>-0.011985181956853</v>
      </c>
      <c r="G1290">
        <v>-0.05225752508361201</v>
      </c>
      <c r="H1290">
        <v>0.155159235668789</v>
      </c>
      <c r="I1290">
        <v>0.625089605734767</v>
      </c>
    </row>
    <row r="1291" spans="1:9">
      <c r="A1291" s="1" t="s">
        <v>1303</v>
      </c>
      <c r="B1291">
        <f>HYPERLINK("https://www.suredividend.com/sure-analysis-research-database/","Peoples Financial Services Corp")</f>
        <v>0</v>
      </c>
      <c r="C1291">
        <v>-0.037407481496299</v>
      </c>
      <c r="D1291">
        <v>-0.105667636208194</v>
      </c>
      <c r="E1291">
        <v>0.020486066929634</v>
      </c>
      <c r="F1291">
        <v>-0.06505557789940601</v>
      </c>
      <c r="G1291">
        <v>0.07703292202254701</v>
      </c>
      <c r="H1291">
        <v>0.3639803736489871</v>
      </c>
      <c r="I1291">
        <v>0.176096786019797</v>
      </c>
    </row>
    <row r="1292" spans="1:9">
      <c r="A1292" s="1" t="s">
        <v>1304</v>
      </c>
      <c r="B1292">
        <f>HYPERLINK("https://www.suredividend.com/sure-analysis-research-database/","Provident Financial Services Inc")</f>
        <v>0</v>
      </c>
      <c r="C1292">
        <v>-0.166954270923209</v>
      </c>
      <c r="D1292">
        <v>-0.13477522526761</v>
      </c>
      <c r="E1292">
        <v>-0.109781340906261</v>
      </c>
      <c r="F1292">
        <v>-0.177650490811915</v>
      </c>
      <c r="G1292">
        <v>-0.186306692005916</v>
      </c>
      <c r="H1292">
        <v>0.5997547760674691</v>
      </c>
      <c r="I1292">
        <v>-0.134437810410055</v>
      </c>
    </row>
    <row r="1293" spans="1:9">
      <c r="A1293" s="1" t="s">
        <v>1305</v>
      </c>
      <c r="B1293">
        <f>HYPERLINK("https://www.suredividend.com/sure-analysis-research-database/","PennyMac Financial Services Inc.")</f>
        <v>0</v>
      </c>
      <c r="C1293">
        <v>-0.203572079460543</v>
      </c>
      <c r="D1293">
        <v>-0.072157287387071</v>
      </c>
      <c r="E1293">
        <v>-0.066917196908229</v>
      </c>
      <c r="F1293">
        <v>-0.366778627547013</v>
      </c>
      <c r="G1293">
        <v>-0.292228605301644</v>
      </c>
      <c r="H1293">
        <v>-0.312816367864966</v>
      </c>
      <c r="I1293">
        <v>1.200768506347983</v>
      </c>
    </row>
    <row r="1294" spans="1:9">
      <c r="A1294" s="1" t="s">
        <v>1306</v>
      </c>
      <c r="B1294">
        <f>HYPERLINK("https://www.suredividend.com/sure-analysis-research-database/","Peapack-Gladstone Financial Corp.")</f>
        <v>0</v>
      </c>
      <c r="C1294">
        <v>0.005765350245027</v>
      </c>
      <c r="D1294">
        <v>0.181710414902624</v>
      </c>
      <c r="E1294">
        <v>0.06836101967388801</v>
      </c>
      <c r="F1294">
        <v>-0.010018982439115</v>
      </c>
      <c r="G1294">
        <v>0.034004492836947</v>
      </c>
      <c r="H1294">
        <v>1.15681910908349</v>
      </c>
      <c r="I1294">
        <v>0.04798063233271</v>
      </c>
    </row>
    <row r="1295" spans="1:9">
      <c r="A1295" s="1" t="s">
        <v>1307</v>
      </c>
      <c r="B1295">
        <f>HYPERLINK("https://www.suredividend.com/sure-analysis-research-database/","Precigen Inc")</f>
        <v>0</v>
      </c>
      <c r="C1295">
        <v>-0.350180505415162</v>
      </c>
      <c r="D1295">
        <v>0.111111111111111</v>
      </c>
      <c r="E1295">
        <v>-0.154929577464788</v>
      </c>
      <c r="F1295">
        <v>-0.5148247978436651</v>
      </c>
      <c r="G1295">
        <v>-0.6145610278372591</v>
      </c>
      <c r="H1295">
        <v>-0.683655536028119</v>
      </c>
      <c r="I1295">
        <v>-0.9042553191489361</v>
      </c>
    </row>
    <row r="1296" spans="1:9">
      <c r="A1296" s="1" t="s">
        <v>1308</v>
      </c>
      <c r="B1296">
        <f>HYPERLINK("https://www.suredividend.com/sure-analysis-research-database/","Progyny Inc")</f>
        <v>0</v>
      </c>
      <c r="C1296">
        <v>-0.137418755803157</v>
      </c>
      <c r="D1296">
        <v>0.182309895004772</v>
      </c>
      <c r="E1296">
        <v>-0.171275646743978</v>
      </c>
      <c r="F1296">
        <v>-0.261966236345581</v>
      </c>
      <c r="G1296">
        <v>-0.370382921043714</v>
      </c>
      <c r="H1296">
        <v>0.286258220837659</v>
      </c>
      <c r="I1296">
        <v>1.331242158092848</v>
      </c>
    </row>
    <row r="1297" spans="1:9">
      <c r="A1297" s="1" t="s">
        <v>1309</v>
      </c>
      <c r="B1297">
        <f>HYPERLINK("https://www.suredividend.com/sure-analysis-PGRE/","Paramount Group Inc")</f>
        <v>0</v>
      </c>
      <c r="C1297">
        <v>-0.165690246622527</v>
      </c>
      <c r="D1297">
        <v>-0.162189365050112</v>
      </c>
      <c r="E1297">
        <v>-0.437212535590831</v>
      </c>
      <c r="F1297">
        <v>-0.270091022490088</v>
      </c>
      <c r="G1297">
        <v>-0.331349632864561</v>
      </c>
      <c r="H1297">
        <v>-0.149187337143515</v>
      </c>
      <c r="I1297">
        <v>-0.568632030713983</v>
      </c>
    </row>
    <row r="1298" spans="1:9">
      <c r="A1298" s="1" t="s">
        <v>1310</v>
      </c>
      <c r="B1298">
        <f>HYPERLINK("https://www.suredividend.com/sure-analysis-research-database/","PGT Innovations Inc")</f>
        <v>0</v>
      </c>
      <c r="C1298">
        <v>0.116925978312117</v>
      </c>
      <c r="D1298">
        <v>0.307395143487858</v>
      </c>
      <c r="E1298">
        <v>0.440997566909975</v>
      </c>
      <c r="F1298">
        <v>0.0533570475767</v>
      </c>
      <c r="G1298">
        <v>0.178606965174129</v>
      </c>
      <c r="H1298">
        <v>0.246186217780115</v>
      </c>
      <c r="I1298">
        <v>0.600675675675675</v>
      </c>
    </row>
    <row r="1299" spans="1:9">
      <c r="A1299" s="1" t="s">
        <v>1311</v>
      </c>
      <c r="B1299">
        <f>HYPERLINK("https://www.suredividend.com/sure-analysis-research-database/","Phathom Pharmaceuticals Inc")</f>
        <v>0</v>
      </c>
      <c r="C1299">
        <v>0.096982758620689</v>
      </c>
      <c r="D1299">
        <v>-0.007797270955165</v>
      </c>
      <c r="E1299">
        <v>-0.324933687002652</v>
      </c>
      <c r="F1299">
        <v>-0.482460599898322</v>
      </c>
      <c r="G1299">
        <v>-0.6819743830053101</v>
      </c>
      <c r="H1299">
        <v>-0.7414274828549651</v>
      </c>
      <c r="I1299">
        <v>-0.586178861788617</v>
      </c>
    </row>
    <row r="1300" spans="1:9">
      <c r="A1300" s="1" t="s">
        <v>1312</v>
      </c>
      <c r="B1300">
        <f>HYPERLINK("https://www.suredividend.com/sure-analysis-research-database/","Phreesia Inc")</f>
        <v>0</v>
      </c>
      <c r="C1300">
        <v>-0.166316526610644</v>
      </c>
      <c r="D1300">
        <v>-0.09981096408317501</v>
      </c>
      <c r="E1300">
        <v>-0.142599927979834</v>
      </c>
      <c r="F1300">
        <v>-0.428468554968795</v>
      </c>
      <c r="G1300">
        <v>-0.6081303489137591</v>
      </c>
      <c r="H1300">
        <v>-0.255239286831404</v>
      </c>
      <c r="I1300">
        <v>-0.050637958532695</v>
      </c>
    </row>
    <row r="1301" spans="1:9">
      <c r="A1301" s="1" t="s">
        <v>1313</v>
      </c>
      <c r="B1301">
        <f>HYPERLINK("https://www.suredividend.com/sure-analysis-research-database/","Impinj Inc")</f>
        <v>0</v>
      </c>
      <c r="C1301">
        <v>-0.108624454148471</v>
      </c>
      <c r="D1301">
        <v>0.246184371184371</v>
      </c>
      <c r="E1301">
        <v>0.6133175261805961</v>
      </c>
      <c r="F1301">
        <v>-0.07948139797068701</v>
      </c>
      <c r="G1301">
        <v>0.550218340611353</v>
      </c>
      <c r="H1301">
        <v>1.712624584717608</v>
      </c>
      <c r="I1301">
        <v>1.215739484396201</v>
      </c>
    </row>
    <row r="1302" spans="1:9">
      <c r="A1302" s="1" t="s">
        <v>1314</v>
      </c>
      <c r="B1302">
        <f>HYPERLINK("https://www.suredividend.com/sure-analysis-research-database/","Ping Identity Holding Corp")</f>
        <v>0</v>
      </c>
      <c r="C1302">
        <v>0</v>
      </c>
      <c r="D1302">
        <v>0.390748031496062</v>
      </c>
      <c r="E1302">
        <v>0.08608762490392001</v>
      </c>
      <c r="F1302">
        <v>0.23513986013986</v>
      </c>
      <c r="G1302">
        <v>0.113914071738273</v>
      </c>
      <c r="H1302">
        <v>-0.209952474140341</v>
      </c>
      <c r="I1302">
        <v>0.405271009448035</v>
      </c>
    </row>
    <row r="1303" spans="1:9">
      <c r="A1303" s="1" t="s">
        <v>1315</v>
      </c>
      <c r="B1303">
        <f>HYPERLINK("https://www.suredividend.com/sure-analysis-research-database/","Piper Sandler Co`s")</f>
        <v>0</v>
      </c>
      <c r="C1303">
        <v>-0.06036043804432101</v>
      </c>
      <c r="D1303">
        <v>-0.021043477635914</v>
      </c>
      <c r="E1303">
        <v>-0.037017006189531</v>
      </c>
      <c r="F1303">
        <v>-0.364289856289954</v>
      </c>
      <c r="G1303">
        <v>-0.256961088817595</v>
      </c>
      <c r="H1303">
        <v>0.4482429571428</v>
      </c>
      <c r="I1303">
        <v>0.9229547540057881</v>
      </c>
    </row>
    <row r="1304" spans="1:9">
      <c r="A1304" s="1" t="s">
        <v>1316</v>
      </c>
      <c r="B1304">
        <f>HYPERLINK("https://www.suredividend.com/sure-analysis-research-database/","PJT Partners Inc")</f>
        <v>0</v>
      </c>
      <c r="C1304">
        <v>-0.029124860646599</v>
      </c>
      <c r="D1304">
        <v>0.02245377164661</v>
      </c>
      <c r="E1304">
        <v>0.115453522236222</v>
      </c>
      <c r="F1304">
        <v>-0.052386036737552</v>
      </c>
      <c r="G1304">
        <v>-0.149238075351105</v>
      </c>
      <c r="H1304">
        <v>0.087412887567407</v>
      </c>
      <c r="I1304">
        <v>0.9948575224482321</v>
      </c>
    </row>
    <row r="1305" spans="1:9">
      <c r="A1305" s="1" t="s">
        <v>1317</v>
      </c>
      <c r="B1305">
        <f>HYPERLINK("https://www.suredividend.com/sure-analysis-research-database/","Park Aerospace Corp")</f>
        <v>0</v>
      </c>
      <c r="C1305">
        <v>-0.059807445674753</v>
      </c>
      <c r="D1305">
        <v>-0.129911486672851</v>
      </c>
      <c r="E1305">
        <v>-0.12074732254468</v>
      </c>
      <c r="F1305">
        <v>-0.185783673437463</v>
      </c>
      <c r="G1305">
        <v>-0.221181469954512</v>
      </c>
      <c r="H1305">
        <v>-0.026948206724432</v>
      </c>
      <c r="I1305">
        <v>-0.04449829276352001</v>
      </c>
    </row>
    <row r="1306" spans="1:9">
      <c r="A1306" s="1" t="s">
        <v>1318</v>
      </c>
      <c r="B1306">
        <f>HYPERLINK("https://www.suredividend.com/sure-analysis-research-database/","Park-Ohio Holdings Corp.")</f>
        <v>0</v>
      </c>
      <c r="C1306">
        <v>-0.294697903822441</v>
      </c>
      <c r="D1306">
        <v>-0.279660483332703</v>
      </c>
      <c r="E1306">
        <v>-0.07566012733912901</v>
      </c>
      <c r="F1306">
        <v>-0.445857250115042</v>
      </c>
      <c r="G1306">
        <v>-0.5195396988723461</v>
      </c>
      <c r="H1306">
        <v>-0.334458083658153</v>
      </c>
      <c r="I1306">
        <v>-0.7282053475122711</v>
      </c>
    </row>
    <row r="1307" spans="1:9">
      <c r="A1307" s="1" t="s">
        <v>1319</v>
      </c>
      <c r="B1307">
        <f>HYPERLINK("https://www.suredividend.com/sure-analysis-research-database/","Photronics, Inc.")</f>
        <v>0</v>
      </c>
      <c r="C1307">
        <v>-0.044025157232704</v>
      </c>
      <c r="D1307">
        <v>-0.188900747065101</v>
      </c>
      <c r="E1307">
        <v>0.047553411440385</v>
      </c>
      <c r="F1307">
        <v>-0.193633952254642</v>
      </c>
      <c r="G1307">
        <v>0.139430284857571</v>
      </c>
      <c r="H1307">
        <v>0.4100185528756951</v>
      </c>
      <c r="I1307">
        <v>0.6703296703296701</v>
      </c>
    </row>
    <row r="1308" spans="1:9">
      <c r="A1308" s="1" t="s">
        <v>1320</v>
      </c>
      <c r="B1308">
        <f>HYPERLINK("https://www.suredividend.com/sure-analysis-research-database/","Dave &amp; Buster`s Entertainment Inc")</f>
        <v>0</v>
      </c>
      <c r="C1308">
        <v>-0.185537828100874</v>
      </c>
      <c r="D1308">
        <v>-0.015858208955223</v>
      </c>
      <c r="E1308">
        <v>-0.217359050445103</v>
      </c>
      <c r="F1308">
        <v>-0.17578125</v>
      </c>
      <c r="G1308">
        <v>-0.170162558993183</v>
      </c>
      <c r="H1308">
        <v>0.9658385093167691</v>
      </c>
      <c r="I1308">
        <v>-0.32915636909329</v>
      </c>
    </row>
    <row r="1309" spans="1:9">
      <c r="A1309" s="1" t="s">
        <v>1321</v>
      </c>
      <c r="B1309">
        <f>HYPERLINK("https://www.suredividend.com/sure-analysis-research-database/","PLBY Group Inc")</f>
        <v>0</v>
      </c>
      <c r="C1309">
        <v>-0.156043956043956</v>
      </c>
      <c r="D1309">
        <v>-0.436123348017621</v>
      </c>
      <c r="E1309">
        <v>-0.6706689536878211</v>
      </c>
      <c r="F1309">
        <v>-0.8558558558558551</v>
      </c>
      <c r="G1309">
        <v>-0.833766233766233</v>
      </c>
      <c r="H1309">
        <v>-0.6175298804780871</v>
      </c>
      <c r="I1309">
        <v>-0.6113360323886641</v>
      </c>
    </row>
    <row r="1310" spans="1:9">
      <c r="A1310" s="1" t="s">
        <v>1322</v>
      </c>
      <c r="B1310">
        <f>HYPERLINK("https://www.suredividend.com/sure-analysis-research-database/","Childrens Place Inc")</f>
        <v>0</v>
      </c>
      <c r="C1310">
        <v>-0.07252747252747201</v>
      </c>
      <c r="D1310">
        <v>-0.09829059829059801</v>
      </c>
      <c r="E1310">
        <v>-0.238419891718468</v>
      </c>
      <c r="F1310">
        <v>-0.5209988649262201</v>
      </c>
      <c r="G1310">
        <v>-0.5707504520795661</v>
      </c>
      <c r="H1310">
        <v>0.336382828993666</v>
      </c>
      <c r="I1310">
        <v>-0.636626307757808</v>
      </c>
    </row>
    <row r="1311" spans="1:9">
      <c r="A1311" s="1" t="s">
        <v>1323</v>
      </c>
      <c r="B1311">
        <f>HYPERLINK("https://www.suredividend.com/sure-analysis-research-database/","Polymet Mining Corp")</f>
        <v>0</v>
      </c>
      <c r="C1311">
        <v>-0.139393939393939</v>
      </c>
      <c r="D1311">
        <v>0.05576208178438601</v>
      </c>
      <c r="E1311">
        <v>-0.230352303523035</v>
      </c>
      <c r="F1311">
        <v>0.135999999999999</v>
      </c>
      <c r="G1311">
        <v>-0.118012422360248</v>
      </c>
      <c r="H1311">
        <v>-0.3545454545454541</v>
      </c>
      <c r="I1311">
        <v>3.591754244139045</v>
      </c>
    </row>
    <row r="1312" spans="1:9">
      <c r="A1312" s="1" t="s">
        <v>1324</v>
      </c>
      <c r="B1312">
        <f>HYPERLINK("https://www.suredividend.com/sure-analysis-research-database/","Palomar Holdings Inc")</f>
        <v>0</v>
      </c>
      <c r="C1312">
        <v>0.099236641221373</v>
      </c>
      <c r="D1312">
        <v>0.498536585365853</v>
      </c>
      <c r="E1312">
        <v>0.437977843657356</v>
      </c>
      <c r="F1312">
        <v>0.422880963408985</v>
      </c>
      <c r="G1312">
        <v>0.169543147208121</v>
      </c>
      <c r="H1312">
        <v>0.09635974304068501</v>
      </c>
      <c r="I1312">
        <v>3.85308056872038</v>
      </c>
    </row>
    <row r="1313" spans="1:9">
      <c r="A1313" s="1" t="s">
        <v>1325</v>
      </c>
      <c r="B1313">
        <f>HYPERLINK("https://www.suredividend.com/sure-analysis-research-database/","Douglas Dynamics Inc")</f>
        <v>0</v>
      </c>
      <c r="C1313">
        <v>-0.080000770411078</v>
      </c>
      <c r="D1313">
        <v>-0.020867212375473</v>
      </c>
      <c r="E1313">
        <v>-0.095245461232246</v>
      </c>
      <c r="F1313">
        <v>-0.245467804695686</v>
      </c>
      <c r="G1313">
        <v>-0.214794520547945</v>
      </c>
      <c r="H1313">
        <v>-0.17186538333733</v>
      </c>
      <c r="I1313">
        <v>-0.174812490102644</v>
      </c>
    </row>
    <row r="1314" spans="1:9">
      <c r="A1314" s="1" t="s">
        <v>1326</v>
      </c>
      <c r="B1314">
        <f>HYPERLINK("https://www.suredividend.com/sure-analysis-research-database/","Preformed Line Products Co.")</f>
        <v>0</v>
      </c>
      <c r="C1314">
        <v>-0.078942876757879</v>
      </c>
      <c r="D1314">
        <v>0.187938954450653</v>
      </c>
      <c r="E1314">
        <v>0.189888965474436</v>
      </c>
      <c r="F1314">
        <v>0.13646468223449</v>
      </c>
      <c r="G1314">
        <v>0.107583870781375</v>
      </c>
      <c r="H1314">
        <v>0.5143452249795241</v>
      </c>
      <c r="I1314">
        <v>0.116632536694829</v>
      </c>
    </row>
    <row r="1315" spans="1:9">
      <c r="A1315" s="1" t="s">
        <v>1327</v>
      </c>
      <c r="B1315">
        <f>HYPERLINK("https://www.suredividend.com/sure-analysis-research-database/","Pliant Therapeutics Inc")</f>
        <v>0</v>
      </c>
      <c r="C1315">
        <v>-0.010346378767431</v>
      </c>
      <c r="D1315">
        <v>1.477477477477477</v>
      </c>
      <c r="E1315">
        <v>2.10296191819464</v>
      </c>
      <c r="F1315">
        <v>0.6296296296296291</v>
      </c>
      <c r="G1315">
        <v>0.245048104131296</v>
      </c>
      <c r="H1315">
        <v>-0.095394736842105</v>
      </c>
      <c r="I1315">
        <v>0.032863849765258</v>
      </c>
    </row>
    <row r="1316" spans="1:9">
      <c r="A1316" s="1" t="s">
        <v>1328</v>
      </c>
      <c r="B1316">
        <f>HYPERLINK("https://www.suredividend.com/sure-analysis-research-database/","Pulse Biosciences Inc")</f>
        <v>0</v>
      </c>
      <c r="C1316">
        <v>0.160493827160493</v>
      </c>
      <c r="D1316">
        <v>0.086705202312138</v>
      </c>
      <c r="E1316">
        <v>-0.476323119777158</v>
      </c>
      <c r="F1316">
        <v>-0.873058744091829</v>
      </c>
      <c r="G1316">
        <v>-0.9080684596577011</v>
      </c>
      <c r="H1316">
        <v>-0.8798722044728431</v>
      </c>
      <c r="I1316">
        <v>-0.9040326697294531</v>
      </c>
    </row>
    <row r="1317" spans="1:9">
      <c r="A1317" s="1" t="s">
        <v>1329</v>
      </c>
      <c r="B1317">
        <f>HYPERLINK("https://www.suredividend.com/sure-analysis-research-database/","ePlus Inc")</f>
        <v>0</v>
      </c>
      <c r="C1317">
        <v>-0.102624279923191</v>
      </c>
      <c r="D1317">
        <v>-0.191620219104362</v>
      </c>
      <c r="E1317">
        <v>-0.235550708833151</v>
      </c>
      <c r="F1317">
        <v>-0.219376391982182</v>
      </c>
      <c r="G1317">
        <v>-0.206789250353606</v>
      </c>
      <c r="H1317">
        <v>0.09360374414976601</v>
      </c>
      <c r="I1317">
        <v>-0.124206142634044</v>
      </c>
    </row>
    <row r="1318" spans="1:9">
      <c r="A1318" s="1" t="s">
        <v>1330</v>
      </c>
      <c r="B1318">
        <f>HYPERLINK("https://www.suredividend.com/sure-analysis-research-database/","Plexus Corp.")</f>
        <v>0</v>
      </c>
      <c r="C1318">
        <v>-0.035963499731615</v>
      </c>
      <c r="D1318">
        <v>0.159607438016528</v>
      </c>
      <c r="E1318">
        <v>0.151134469939751</v>
      </c>
      <c r="F1318">
        <v>-0.06351027218688</v>
      </c>
      <c r="G1318">
        <v>-0.03191030616645101</v>
      </c>
      <c r="H1318">
        <v>0.226273385224634</v>
      </c>
      <c r="I1318">
        <v>0.523324851569126</v>
      </c>
    </row>
    <row r="1319" spans="1:9">
      <c r="A1319" s="1" t="s">
        <v>1331</v>
      </c>
      <c r="B1319">
        <f>HYPERLINK("https://www.suredividend.com/sure-analysis-PLYM/","Plymouth Industrial Reit Inc")</f>
        <v>0</v>
      </c>
      <c r="C1319">
        <v>-0.193824869922962</v>
      </c>
      <c r="D1319">
        <v>-0.09720693101170401</v>
      </c>
      <c r="E1319">
        <v>-0.3663411850489801</v>
      </c>
      <c r="F1319">
        <v>-0.4833452345948671</v>
      </c>
      <c r="G1319">
        <v>-0.285059578368469</v>
      </c>
      <c r="H1319">
        <v>0.385111138060671</v>
      </c>
      <c r="I1319">
        <v>0.238286997599318</v>
      </c>
    </row>
    <row r="1320" spans="1:9">
      <c r="A1320" s="1" t="s">
        <v>1332</v>
      </c>
      <c r="B1320">
        <f>HYPERLINK("https://www.suredividend.com/sure-analysis-PMT/","Pennymac Mortgage Investment Trust")</f>
        <v>0</v>
      </c>
      <c r="C1320">
        <v>-0.24293405114401</v>
      </c>
      <c r="D1320">
        <v>-0.22294823799196</v>
      </c>
      <c r="E1320">
        <v>-0.259722313614529</v>
      </c>
      <c r="F1320">
        <v>-0.3088449416665131</v>
      </c>
      <c r="G1320">
        <v>-0.378895704166643</v>
      </c>
      <c r="H1320">
        <v>-0.199823605559269</v>
      </c>
      <c r="I1320">
        <v>0.06595666057097301</v>
      </c>
    </row>
    <row r="1321" spans="1:9">
      <c r="A1321" s="1" t="s">
        <v>1333</v>
      </c>
      <c r="B1321">
        <f>HYPERLINK("https://www.suredividend.com/sure-analysis-research-database/","PMV Pharmaceuticals Inc")</f>
        <v>0</v>
      </c>
      <c r="C1321">
        <v>-0.13950073421439</v>
      </c>
      <c r="D1321">
        <v>-0.270236612702366</v>
      </c>
      <c r="E1321">
        <v>-0.448210922787193</v>
      </c>
      <c r="F1321">
        <v>-0.492640692640692</v>
      </c>
      <c r="G1321">
        <v>-0.553183377811665</v>
      </c>
      <c r="H1321">
        <v>-0.660388293248333</v>
      </c>
      <c r="I1321">
        <v>-0.687549986670221</v>
      </c>
    </row>
    <row r="1322" spans="1:9">
      <c r="A1322" s="1" t="s">
        <v>1334</v>
      </c>
      <c r="B1322">
        <f>HYPERLINK("https://www.suredividend.com/sure-analysis-PNM/","PNM Resources Inc")</f>
        <v>0</v>
      </c>
      <c r="C1322">
        <v>-0.025343189017951</v>
      </c>
      <c r="D1322">
        <v>-0.015424658118746</v>
      </c>
      <c r="E1322">
        <v>-0.021476626755352</v>
      </c>
      <c r="F1322">
        <v>0.034535322151833</v>
      </c>
      <c r="G1322">
        <v>-0.042225109267276</v>
      </c>
      <c r="H1322">
        <v>0.095314947548298</v>
      </c>
      <c r="I1322">
        <v>0.292691739937872</v>
      </c>
    </row>
    <row r="1323" spans="1:9">
      <c r="A1323" s="1" t="s">
        <v>1335</v>
      </c>
      <c r="B1323">
        <f>HYPERLINK("https://www.suredividend.com/sure-analysis-research-database/","Pennant Group Inc")</f>
        <v>0</v>
      </c>
      <c r="C1323">
        <v>-0.296710526315789</v>
      </c>
      <c r="D1323">
        <v>-0.126633986928104</v>
      </c>
      <c r="E1323">
        <v>-0.404456824512534</v>
      </c>
      <c r="F1323">
        <v>-0.5368284228769491</v>
      </c>
      <c r="G1323">
        <v>-0.557533112582781</v>
      </c>
      <c r="H1323">
        <v>-0.725686425455478</v>
      </c>
      <c r="I1323">
        <v>-0.291583830351226</v>
      </c>
    </row>
    <row r="1324" spans="1:9">
      <c r="A1324" s="1" t="s">
        <v>1336</v>
      </c>
      <c r="B1324">
        <f>HYPERLINK("https://www.suredividend.com/sure-analysis-research-database/","Plantronics, Inc.")</f>
        <v>0</v>
      </c>
      <c r="C1324">
        <v>0.0007539582809750001</v>
      </c>
      <c r="D1324">
        <v>0.000251193167545</v>
      </c>
      <c r="E1324">
        <v>0.436507936507936</v>
      </c>
      <c r="F1324">
        <v>0.3571915473755961</v>
      </c>
      <c r="G1324">
        <v>0.235494880546075</v>
      </c>
      <c r="H1324">
        <v>2.125588697017268</v>
      </c>
      <c r="I1324">
        <v>-0.019064440716462</v>
      </c>
    </row>
    <row r="1325" spans="1:9">
      <c r="A1325" s="1" t="s">
        <v>1337</v>
      </c>
      <c r="B1325">
        <f>HYPERLINK("https://www.suredividend.com/sure-analysis-POR/","Portland General Electric Co")</f>
        <v>0</v>
      </c>
      <c r="C1325">
        <v>-0.184039132066855</v>
      </c>
      <c r="D1325">
        <v>-0.122270233367468</v>
      </c>
      <c r="E1325">
        <v>-0.233110983407409</v>
      </c>
      <c r="F1325">
        <v>-0.181528990021912</v>
      </c>
      <c r="G1325">
        <v>-0.104305789196445</v>
      </c>
      <c r="H1325">
        <v>0.201736062625923</v>
      </c>
      <c r="I1325">
        <v>0.07304710262014801</v>
      </c>
    </row>
    <row r="1326" spans="1:9">
      <c r="A1326" s="1" t="s">
        <v>1338</v>
      </c>
      <c r="B1326">
        <f>HYPERLINK("https://www.suredividend.com/sure-analysis-research-database/","Power Integrations Inc.")</f>
        <v>0</v>
      </c>
      <c r="C1326">
        <v>-0.08974358974358901</v>
      </c>
      <c r="D1326">
        <v>-0.144899977384678</v>
      </c>
      <c r="E1326">
        <v>-0.209493011621318</v>
      </c>
      <c r="F1326">
        <v>-0.307509994505595</v>
      </c>
      <c r="G1326">
        <v>-0.35288976745552</v>
      </c>
      <c r="H1326">
        <v>0.06802071859910401</v>
      </c>
      <c r="I1326">
        <v>0.8259803571377541</v>
      </c>
    </row>
    <row r="1327" spans="1:9">
      <c r="A1327" s="1" t="s">
        <v>1339</v>
      </c>
      <c r="B1327">
        <f>HYPERLINK("https://www.suredividend.com/sure-analysis-research-database/","Powell Industries, Inc.")</f>
        <v>0</v>
      </c>
      <c r="C1327">
        <v>-0.106337728626116</v>
      </c>
      <c r="D1327">
        <v>-0.073355326993984</v>
      </c>
      <c r="E1327">
        <v>0.105178717024802</v>
      </c>
      <c r="F1327">
        <v>-0.264981126002735</v>
      </c>
      <c r="G1327">
        <v>-0.157081359100993</v>
      </c>
      <c r="H1327">
        <v>-0.140962318461337</v>
      </c>
      <c r="I1327">
        <v>-0.192981512708332</v>
      </c>
    </row>
    <row r="1328" spans="1:9">
      <c r="A1328" s="1" t="s">
        <v>1340</v>
      </c>
      <c r="B1328">
        <f>HYPERLINK("https://www.suredividend.com/sure-analysis-research-database/","AMMO Inc")</f>
        <v>0</v>
      </c>
      <c r="C1328">
        <v>-0.221932114882506</v>
      </c>
      <c r="D1328">
        <v>-0.336302895322939</v>
      </c>
      <c r="E1328">
        <v>-0.300469483568075</v>
      </c>
      <c r="F1328">
        <v>-0.453211009174311</v>
      </c>
      <c r="G1328">
        <v>-0.516233766233766</v>
      </c>
      <c r="H1328">
        <v>134.4545454545455</v>
      </c>
      <c r="I1328">
        <v>134.4545454545455</v>
      </c>
    </row>
    <row r="1329" spans="1:9">
      <c r="A1329" s="1" t="s">
        <v>1341</v>
      </c>
      <c r="B1329">
        <f>HYPERLINK("https://www.suredividend.com/sure-analysis-research-database/","Pacific Premier Bancorp, Inc.")</f>
        <v>0</v>
      </c>
      <c r="C1329">
        <v>-0.021361000915471</v>
      </c>
      <c r="D1329">
        <v>0.06583447161929</v>
      </c>
      <c r="E1329">
        <v>-0.031486503627018</v>
      </c>
      <c r="F1329">
        <v>-0.175569928739627</v>
      </c>
      <c r="G1329">
        <v>-0.230267042372515</v>
      </c>
      <c r="H1329">
        <v>0.429634946037633</v>
      </c>
      <c r="I1329">
        <v>-0.08306981478410501</v>
      </c>
    </row>
    <row r="1330" spans="1:9">
      <c r="A1330" s="1" t="s">
        <v>1342</v>
      </c>
      <c r="B1330">
        <f>HYPERLINK("https://www.suredividend.com/sure-analysis-research-database/","Perpetua Resources Corp.")</f>
        <v>0</v>
      </c>
      <c r="C1330">
        <v>-0.351254480286738</v>
      </c>
      <c r="D1330">
        <v>-0.353571428571428</v>
      </c>
      <c r="E1330">
        <v>-0.5839080459770111</v>
      </c>
      <c r="F1330">
        <v>-0.618947368421052</v>
      </c>
      <c r="G1330">
        <v>-0.6148936170212761</v>
      </c>
      <c r="H1330">
        <v>1.356770833333333</v>
      </c>
      <c r="I1330">
        <v>1.356770833333333</v>
      </c>
    </row>
    <row r="1331" spans="1:9">
      <c r="A1331" s="1" t="s">
        <v>1343</v>
      </c>
      <c r="B1331">
        <f>HYPERLINK("https://www.suredividend.com/sure-analysis-research-database/","Proassurance Corporation")</f>
        <v>0</v>
      </c>
      <c r="C1331">
        <v>-0.077399584829813</v>
      </c>
      <c r="D1331">
        <v>-0.172223888098184</v>
      </c>
      <c r="E1331">
        <v>-0.234763596611095</v>
      </c>
      <c r="F1331">
        <v>-0.219947067836746</v>
      </c>
      <c r="G1331">
        <v>-0.130646914018318</v>
      </c>
      <c r="H1331">
        <v>0.234715668919812</v>
      </c>
      <c r="I1331">
        <v>-0.607934917196254</v>
      </c>
    </row>
    <row r="1332" spans="1:9">
      <c r="A1332" s="1" t="s">
        <v>1344</v>
      </c>
      <c r="B1332">
        <f>HYPERLINK("https://www.suredividend.com/sure-analysis-research-database/","PRA Group Inc")</f>
        <v>0</v>
      </c>
      <c r="C1332">
        <v>-0.115076071922545</v>
      </c>
      <c r="D1332">
        <v>-0.150783116538359</v>
      </c>
      <c r="E1332">
        <v>-0.28497988377291</v>
      </c>
      <c r="F1332">
        <v>-0.362875921131248</v>
      </c>
      <c r="G1332">
        <v>-0.25760037131585</v>
      </c>
      <c r="H1332">
        <v>-0.189716312056737</v>
      </c>
      <c r="I1332">
        <v>0.105008635578583</v>
      </c>
    </row>
    <row r="1333" spans="1:9">
      <c r="A1333" s="1" t="s">
        <v>1345</v>
      </c>
      <c r="B1333">
        <f>HYPERLINK("https://www.suredividend.com/sure-analysis-research-database/","Praxis Precision Medicines Inc")</f>
        <v>0</v>
      </c>
      <c r="C1333">
        <v>-0.375366568914956</v>
      </c>
      <c r="D1333">
        <v>-0.348623853211009</v>
      </c>
      <c r="E1333">
        <v>-0.7928015564202331</v>
      </c>
      <c r="F1333">
        <v>-0.8918781725888321</v>
      </c>
      <c r="G1333">
        <v>-0.892532795156407</v>
      </c>
      <c r="H1333">
        <v>-0.9233812949640281</v>
      </c>
      <c r="I1333">
        <v>-0.9233812949640281</v>
      </c>
    </row>
    <row r="1334" spans="1:9">
      <c r="A1334" s="1" t="s">
        <v>1346</v>
      </c>
      <c r="B1334">
        <f>HYPERLINK("https://www.suredividend.com/sure-analysis-research-database/","Porch Group Inc")</f>
        <v>0</v>
      </c>
      <c r="C1334">
        <v>-0.215094339622641</v>
      </c>
      <c r="D1334">
        <v>-0.249097472924187</v>
      </c>
      <c r="E1334">
        <v>-0.6426116838487971</v>
      </c>
      <c r="F1334">
        <v>-0.8665811417575361</v>
      </c>
      <c r="G1334">
        <v>-0.8752249550089981</v>
      </c>
      <c r="H1334">
        <v>-0.8030303030303031</v>
      </c>
      <c r="I1334">
        <v>-0.7898989898989891</v>
      </c>
    </row>
    <row r="1335" spans="1:9">
      <c r="A1335" s="1" t="s">
        <v>1347</v>
      </c>
      <c r="B1335">
        <f>HYPERLINK("https://www.suredividend.com/sure-analysis-research-database/","Procept BioRobotics Corp")</f>
        <v>0</v>
      </c>
      <c r="C1335">
        <v>-0.217176702862783</v>
      </c>
      <c r="D1335">
        <v>0.211056811240073</v>
      </c>
      <c r="E1335">
        <v>0.136428776153625</v>
      </c>
      <c r="F1335">
        <v>0.585365853658536</v>
      </c>
      <c r="G1335">
        <v>-0.008750000000000001</v>
      </c>
      <c r="H1335">
        <v>-0.054601812112541</v>
      </c>
      <c r="I1335">
        <v>-0.054601812112541</v>
      </c>
    </row>
    <row r="1336" spans="1:9">
      <c r="A1336" s="1" t="s">
        <v>1348</v>
      </c>
      <c r="B1336">
        <f>HYPERLINK("https://www.suredividend.com/sure-analysis-research-database/","Perdoceo Education Corporation")</f>
        <v>0</v>
      </c>
      <c r="C1336">
        <v>-0.061054579093432</v>
      </c>
      <c r="D1336">
        <v>-0.15133779264214</v>
      </c>
      <c r="E1336">
        <v>-0.109649122807017</v>
      </c>
      <c r="F1336">
        <v>-0.136904761904761</v>
      </c>
      <c r="G1336">
        <v>-0.09937888198757701</v>
      </c>
      <c r="H1336">
        <v>-0.180790960451977</v>
      </c>
      <c r="I1336">
        <v>-0.023099133782483</v>
      </c>
    </row>
    <row r="1337" spans="1:9">
      <c r="A1337" s="1" t="s">
        <v>1349</v>
      </c>
      <c r="B1337">
        <f>HYPERLINK("https://www.suredividend.com/sure-analysis-research-database/","Perficient Inc.")</f>
        <v>0</v>
      </c>
      <c r="C1337">
        <v>-0.119212346993081</v>
      </c>
      <c r="D1337">
        <v>-0.299470899470899</v>
      </c>
      <c r="E1337">
        <v>-0.37699981178242</v>
      </c>
      <c r="F1337">
        <v>-0.4879727743831691</v>
      </c>
      <c r="G1337">
        <v>-0.452349437458636</v>
      </c>
      <c r="H1337">
        <v>0.467849223946784</v>
      </c>
      <c r="I1337">
        <v>2.326633165829146</v>
      </c>
    </row>
    <row r="1338" spans="1:9">
      <c r="A1338" s="1" t="s">
        <v>1350</v>
      </c>
      <c r="B1338">
        <f>HYPERLINK("https://www.suredividend.com/sure-analysis-research-database/","PROG Holdings Inc")</f>
        <v>0</v>
      </c>
      <c r="C1338">
        <v>-0.210371819960861</v>
      </c>
      <c r="D1338">
        <v>-0.08967851099830701</v>
      </c>
      <c r="E1338">
        <v>-0.414368650217706</v>
      </c>
      <c r="F1338">
        <v>-0.6422079361560621</v>
      </c>
      <c r="G1338">
        <v>-0.634676324128564</v>
      </c>
      <c r="H1338">
        <v>-0.7253453178523841</v>
      </c>
      <c r="I1338">
        <v>-0.7253453178523841</v>
      </c>
    </row>
    <row r="1339" spans="1:9">
      <c r="A1339" s="1" t="s">
        <v>1351</v>
      </c>
      <c r="B1339">
        <f>HYPERLINK("https://www.suredividend.com/sure-analysis-research-database/","Progress Software Corp.")</f>
        <v>0</v>
      </c>
      <c r="C1339">
        <v>-0.06129374337221601</v>
      </c>
      <c r="D1339">
        <v>-0.014837535001535</v>
      </c>
      <c r="E1339">
        <v>-0.022856676078975</v>
      </c>
      <c r="F1339">
        <v>-0.076082305076537</v>
      </c>
      <c r="G1339">
        <v>-0.08810894893533701</v>
      </c>
      <c r="H1339">
        <v>0.13056983171726</v>
      </c>
      <c r="I1339">
        <v>0.174407157886916</v>
      </c>
    </row>
    <row r="1340" spans="1:9">
      <c r="A1340" s="1" t="s">
        <v>1352</v>
      </c>
      <c r="B1340">
        <f>HYPERLINK("https://www.suredividend.com/sure-analysis-research-database/","Primoris Services Corp")</f>
        <v>0</v>
      </c>
      <c r="C1340">
        <v>-0.149202937488805</v>
      </c>
      <c r="D1340">
        <v>-0.2280432476356</v>
      </c>
      <c r="E1340">
        <v>-0.331812000812766</v>
      </c>
      <c r="F1340">
        <v>-0.280751047327422</v>
      </c>
      <c r="G1340">
        <v>-0.336772291820191</v>
      </c>
      <c r="H1340">
        <v>-0.119278529452665</v>
      </c>
      <c r="I1340">
        <v>-0.377849250326538</v>
      </c>
    </row>
    <row r="1341" spans="1:9">
      <c r="A1341" s="1" t="s">
        <v>1353</v>
      </c>
      <c r="B1341">
        <f>HYPERLINK("https://www.suredividend.com/sure-analysis-research-database/","Park National Corp.")</f>
        <v>0</v>
      </c>
      <c r="C1341">
        <v>-0.039834337349397</v>
      </c>
      <c r="D1341">
        <v>0.0584966541677</v>
      </c>
      <c r="E1341">
        <v>0.07330836719250401</v>
      </c>
      <c r="F1341">
        <v>-0.048557801363402</v>
      </c>
      <c r="G1341">
        <v>0.034208948977348</v>
      </c>
      <c r="H1341">
        <v>0.501935872956791</v>
      </c>
      <c r="I1341">
        <v>0.371023671152161</v>
      </c>
    </row>
    <row r="1342" spans="1:9">
      <c r="A1342" s="1" t="s">
        <v>1354</v>
      </c>
      <c r="B1342">
        <f>HYPERLINK("https://www.suredividend.com/sure-analysis-research-database/","Proto Labs Inc")</f>
        <v>0</v>
      </c>
      <c r="C1342">
        <v>-0.082875686470294</v>
      </c>
      <c r="D1342">
        <v>-0.233305509181969</v>
      </c>
      <c r="E1342">
        <v>-0.240124095139606</v>
      </c>
      <c r="F1342">
        <v>-0.284518013631937</v>
      </c>
      <c r="G1342">
        <v>-0.452540604976903</v>
      </c>
      <c r="H1342">
        <v>-0.7563175698083171</v>
      </c>
      <c r="I1342">
        <v>-0.5395989974937341</v>
      </c>
    </row>
    <row r="1343" spans="1:9">
      <c r="A1343" s="1" t="s">
        <v>1355</v>
      </c>
      <c r="B1343">
        <f>HYPERLINK("https://www.suredividend.com/sure-analysis-research-database/","Prelude Therapeutics Inc")</f>
        <v>0</v>
      </c>
      <c r="C1343">
        <v>-0.130322580645161</v>
      </c>
      <c r="D1343">
        <v>0.243542435424354</v>
      </c>
      <c r="E1343">
        <v>0.024316109422492</v>
      </c>
      <c r="F1343">
        <v>-0.45863453815261</v>
      </c>
      <c r="G1343">
        <v>-0.575299306868305</v>
      </c>
      <c r="H1343">
        <v>-0.8453773801330581</v>
      </c>
      <c r="I1343">
        <v>-0.7427480916030531</v>
      </c>
    </row>
    <row r="1344" spans="1:9">
      <c r="A1344" s="1" t="s">
        <v>1356</v>
      </c>
      <c r="B1344">
        <f>HYPERLINK("https://www.suredividend.com/sure-analysis-research-database/","Primo Water Corporation")</f>
        <v>0</v>
      </c>
      <c r="C1344">
        <v>-0.094547964113181</v>
      </c>
      <c r="D1344">
        <v>-0.019615169064076</v>
      </c>
      <c r="E1344">
        <v>-0.068168581940084</v>
      </c>
      <c r="F1344">
        <v>-0.244709512515255</v>
      </c>
      <c r="G1344">
        <v>-0.179050777461439</v>
      </c>
      <c r="H1344">
        <v>-0.06156344102941901</v>
      </c>
      <c r="I1344">
        <v>-0.103861863584825</v>
      </c>
    </row>
    <row r="1345" spans="1:9">
      <c r="A1345" s="1" t="s">
        <v>1357</v>
      </c>
      <c r="B1345">
        <f>HYPERLINK("https://www.suredividend.com/sure-analysis-research-database/","Pros Holdings Inc")</f>
        <v>0</v>
      </c>
      <c r="C1345">
        <v>0.09973867595818801</v>
      </c>
      <c r="D1345">
        <v>-0.125692520775623</v>
      </c>
      <c r="E1345">
        <v>-0.109975326048643</v>
      </c>
      <c r="F1345">
        <v>-0.267903740214555</v>
      </c>
      <c r="G1345">
        <v>-0.260181658365074</v>
      </c>
      <c r="H1345">
        <v>-0.268328020863517</v>
      </c>
      <c r="I1345">
        <v>0.015687851971037</v>
      </c>
    </row>
    <row r="1346" spans="1:9">
      <c r="A1346" s="1" t="s">
        <v>1358</v>
      </c>
      <c r="B1346">
        <f>HYPERLINK("https://www.suredividend.com/sure-analysis-research-database/","Purple Innovation Inc")</f>
        <v>0</v>
      </c>
      <c r="C1346">
        <v>0.245954692556634</v>
      </c>
      <c r="D1346">
        <v>0.09065155807365401</v>
      </c>
      <c r="E1346">
        <v>-0.3418803418803411</v>
      </c>
      <c r="F1346">
        <v>-0.7098718914845511</v>
      </c>
      <c r="G1346">
        <v>-0.8196721311475411</v>
      </c>
      <c r="H1346">
        <v>-0.867058011049723</v>
      </c>
      <c r="I1346">
        <v>-0.5882352941176471</v>
      </c>
    </row>
    <row r="1347" spans="1:9">
      <c r="A1347" s="1" t="s">
        <v>1359</v>
      </c>
      <c r="B1347">
        <f>HYPERLINK("https://www.suredividend.com/sure-analysis-research-database/","Prothena Corporation plc")</f>
        <v>0</v>
      </c>
      <c r="C1347">
        <v>0.9153184165232351</v>
      </c>
      <c r="D1347">
        <v>0.766910130200063</v>
      </c>
      <c r="E1347">
        <v>0.522298221614227</v>
      </c>
      <c r="F1347">
        <v>0.126315789473684</v>
      </c>
      <c r="G1347">
        <v>-0.217990161630358</v>
      </c>
      <c r="H1347">
        <v>4.028468142792589</v>
      </c>
      <c r="I1347">
        <v>-0.09967637540453</v>
      </c>
    </row>
    <row r="1348" spans="1:9">
      <c r="A1348" s="1" t="s">
        <v>1360</v>
      </c>
      <c r="B1348">
        <f>HYPERLINK("https://www.suredividend.com/sure-analysis-research-database/","Portage Biotech Inc")</f>
        <v>0</v>
      </c>
      <c r="C1348">
        <v>-0.210653753026634</v>
      </c>
      <c r="D1348">
        <v>-0.221027479091995</v>
      </c>
      <c r="E1348">
        <v>0.086666666666666</v>
      </c>
      <c r="F1348">
        <v>-0.392357875116495</v>
      </c>
      <c r="G1348">
        <v>-0.680235409514467</v>
      </c>
      <c r="H1348">
        <v>36.25714285714286</v>
      </c>
      <c r="I1348">
        <v>36.25714285714286</v>
      </c>
    </row>
    <row r="1349" spans="1:9">
      <c r="A1349" s="1" t="s">
        <v>1361</v>
      </c>
      <c r="B1349">
        <f>HYPERLINK("https://www.suredividend.com/sure-analysis-research-database/","Priority Technology Holdings Inc")</f>
        <v>0</v>
      </c>
      <c r="C1349">
        <v>-0.037688442211055</v>
      </c>
      <c r="D1349">
        <v>-0.027918781725888</v>
      </c>
      <c r="E1349">
        <v>-0.348639455782312</v>
      </c>
      <c r="F1349">
        <v>-0.4590395480225981</v>
      </c>
      <c r="G1349">
        <v>-0.345299145299145</v>
      </c>
      <c r="H1349">
        <v>0.200626959247648</v>
      </c>
      <c r="I1349">
        <v>-0.6245098039215681</v>
      </c>
    </row>
    <row r="1350" spans="1:9">
      <c r="A1350" s="1" t="s">
        <v>1362</v>
      </c>
      <c r="B1350">
        <f>HYPERLINK("https://www.suredividend.com/sure-analysis-research-database/","Paratek Pharmaceuticals Inc.")</f>
        <v>0</v>
      </c>
      <c r="C1350">
        <v>0.203187250996016</v>
      </c>
      <c r="D1350">
        <v>0.188976377952755</v>
      </c>
      <c r="E1350">
        <v>0.067137809187279</v>
      </c>
      <c r="F1350">
        <v>-0.32739420935412</v>
      </c>
      <c r="G1350">
        <v>-0.366876310272536</v>
      </c>
      <c r="H1350">
        <v>-0.473867595818815</v>
      </c>
      <c r="I1350">
        <v>-0.8789579158316631</v>
      </c>
    </row>
    <row r="1351" spans="1:9">
      <c r="A1351" s="1" t="s">
        <v>1363</v>
      </c>
      <c r="B1351">
        <f>HYPERLINK("https://www.suredividend.com/sure-analysis-research-database/","CarParts.com Inc")</f>
        <v>0</v>
      </c>
      <c r="C1351">
        <v>-0.276785714285714</v>
      </c>
      <c r="D1351">
        <v>-0.352862849533954</v>
      </c>
      <c r="E1351">
        <v>-0.315492957746478</v>
      </c>
      <c r="F1351">
        <v>-0.566071428571428</v>
      </c>
      <c r="G1351">
        <v>-0.6468023255813951</v>
      </c>
      <c r="H1351">
        <v>-0.5545371219065071</v>
      </c>
      <c r="I1351">
        <v>0.641891891891892</v>
      </c>
    </row>
    <row r="1352" spans="1:9">
      <c r="A1352" s="1" t="s">
        <v>1364</v>
      </c>
      <c r="B1352">
        <f>HYPERLINK("https://www.suredividend.com/sure-analysis-research-database/","Party City Holdco Inc")</f>
        <v>0</v>
      </c>
      <c r="C1352">
        <v>-0.43359375</v>
      </c>
      <c r="D1352">
        <v>0.035714285714285</v>
      </c>
      <c r="E1352">
        <v>-0.574780058651026</v>
      </c>
      <c r="F1352">
        <v>-0.739676840215439</v>
      </c>
      <c r="G1352">
        <v>-0.8087071240105541</v>
      </c>
      <c r="H1352">
        <v>-0.431372549019607</v>
      </c>
      <c r="I1352">
        <v>-0.8875968992248061</v>
      </c>
    </row>
    <row r="1353" spans="1:9">
      <c r="A1353" s="1" t="s">
        <v>1365</v>
      </c>
      <c r="B1353">
        <f>HYPERLINK("https://www.suredividend.com/sure-analysis-research-database/","Privia Health Group Inc")</f>
        <v>0</v>
      </c>
      <c r="C1353">
        <v>-0.171068572813181</v>
      </c>
      <c r="D1353">
        <v>0.017246506095747</v>
      </c>
      <c r="E1353">
        <v>0.28223388305847</v>
      </c>
      <c r="F1353">
        <v>0.322381136451488</v>
      </c>
      <c r="G1353">
        <v>0.604596622889305</v>
      </c>
      <c r="H1353">
        <v>-0.015539568345323</v>
      </c>
      <c r="I1353">
        <v>-0.015539568345323</v>
      </c>
    </row>
    <row r="1354" spans="1:9">
      <c r="A1354" s="1" t="s">
        <v>1366</v>
      </c>
      <c r="B1354">
        <f>HYPERLINK("https://www.suredividend.com/sure-analysis-research-database/","Provention Bio Inc")</f>
        <v>0</v>
      </c>
      <c r="C1354">
        <v>0.4696969696969691</v>
      </c>
      <c r="D1354">
        <v>0.701754385964912</v>
      </c>
      <c r="E1354">
        <v>0.113342898134863</v>
      </c>
      <c r="F1354">
        <v>0.380782918149466</v>
      </c>
      <c r="G1354">
        <v>0.282644628099173</v>
      </c>
      <c r="H1354">
        <v>-0.483699268130405</v>
      </c>
      <c r="I1354">
        <v>0.6133056133056131</v>
      </c>
    </row>
    <row r="1355" spans="1:9">
      <c r="A1355" s="1" t="s">
        <v>1367</v>
      </c>
      <c r="B1355">
        <f>HYPERLINK("https://www.suredividend.com/sure-analysis-PSB/","PS Business Parks, Inc.")</f>
        <v>0</v>
      </c>
      <c r="C1355">
        <v>0.009343861871098001</v>
      </c>
      <c r="D1355">
        <v>0.122128452098513</v>
      </c>
      <c r="E1355">
        <v>0.116861728180261</v>
      </c>
      <c r="F1355">
        <v>0.031597914569559</v>
      </c>
      <c r="G1355">
        <v>0.29709171609303</v>
      </c>
      <c r="H1355">
        <v>0.5444855340439411</v>
      </c>
      <c r="I1355">
        <v>0.6893837588788631</v>
      </c>
    </row>
    <row r="1356" spans="1:9">
      <c r="A1356" s="1" t="s">
        <v>1368</v>
      </c>
      <c r="B1356">
        <f>HYPERLINK("https://www.suredividend.com/sure-analysis-research-database/","Pricesmart Inc.")</f>
        <v>0</v>
      </c>
      <c r="C1356">
        <v>-0.07856803421511101</v>
      </c>
      <c r="D1356">
        <v>-0.194567867730237</v>
      </c>
      <c r="E1356">
        <v>-0.333375353109367</v>
      </c>
      <c r="F1356">
        <v>-0.194711704852218</v>
      </c>
      <c r="G1356">
        <v>-0.257336625548028</v>
      </c>
      <c r="H1356">
        <v>-0.143172779496243</v>
      </c>
      <c r="I1356">
        <v>-0.310155899785824</v>
      </c>
    </row>
    <row r="1357" spans="1:9">
      <c r="A1357" s="1" t="s">
        <v>1369</v>
      </c>
      <c r="B1357">
        <f>HYPERLINK("https://www.suredividend.com/sure-analysis-research-database/","Parsons Corp")</f>
        <v>0</v>
      </c>
      <c r="C1357">
        <v>-0.007859014050964001</v>
      </c>
      <c r="D1357">
        <v>0.014365717068419</v>
      </c>
      <c r="E1357">
        <v>0.065745715016628</v>
      </c>
      <c r="F1357">
        <v>0.238038632986627</v>
      </c>
      <c r="G1357">
        <v>0.197126436781609</v>
      </c>
      <c r="H1357">
        <v>0.241358760429082</v>
      </c>
      <c r="I1357">
        <v>0.385433987362819</v>
      </c>
    </row>
    <row r="1358" spans="1:9">
      <c r="A1358" s="1" t="s">
        <v>1370</v>
      </c>
      <c r="B1358">
        <f>HYPERLINK("https://www.suredividend.com/sure-analysis-research-database/","Personalis Inc")</f>
        <v>0</v>
      </c>
      <c r="C1358">
        <v>-0.169096209912536</v>
      </c>
      <c r="D1358">
        <v>-0.292803970223325</v>
      </c>
      <c r="E1358">
        <v>-0.622015915119363</v>
      </c>
      <c r="F1358">
        <v>-0.8002803083391731</v>
      </c>
      <c r="G1358">
        <v>-0.8472668810289381</v>
      </c>
      <c r="H1358">
        <v>-0.9066186107470511</v>
      </c>
      <c r="I1358">
        <v>-0.899964899964899</v>
      </c>
    </row>
    <row r="1359" spans="1:9">
      <c r="A1359" s="1" t="s">
        <v>1371</v>
      </c>
      <c r="B1359">
        <f>HYPERLINK("https://www.suredividend.com/sure-analysis-research-database/","Postal Realty Trust Inc")</f>
        <v>0</v>
      </c>
      <c r="C1359">
        <v>-0.030638852672751</v>
      </c>
      <c r="D1359">
        <v>-0.004245516761085</v>
      </c>
      <c r="E1359">
        <v>-0.122791493378167</v>
      </c>
      <c r="F1359">
        <v>-0.217183017030349</v>
      </c>
      <c r="G1359">
        <v>-0.161615876864093</v>
      </c>
      <c r="H1359">
        <v>0.094670200235571</v>
      </c>
      <c r="I1359">
        <v>0.017350373552995</v>
      </c>
    </row>
    <row r="1360" spans="1:9">
      <c r="A1360" s="1" t="s">
        <v>1372</v>
      </c>
      <c r="B1360">
        <f>HYPERLINK("https://www.suredividend.com/sure-analysis-research-database/","Poseida Therapeutics Inc")</f>
        <v>0</v>
      </c>
      <c r="C1360">
        <v>0.084010840108401</v>
      </c>
      <c r="D1360">
        <v>0.454545454545454</v>
      </c>
      <c r="E1360">
        <v>-0.084668192219679</v>
      </c>
      <c r="F1360">
        <v>-0.412628487518355</v>
      </c>
      <c r="G1360">
        <v>-0.39117199391172</v>
      </c>
      <c r="H1360">
        <v>-0.55849889624724</v>
      </c>
      <c r="I1360">
        <v>-0.7394136807817591</v>
      </c>
    </row>
    <row r="1361" spans="1:9">
      <c r="A1361" s="1" t="s">
        <v>1373</v>
      </c>
      <c r="B1361">
        <f>HYPERLINK("https://www.suredividend.com/sure-analysis-research-database/","PTC Therapeutics Inc")</f>
        <v>0</v>
      </c>
      <c r="C1361">
        <v>-0.077740492170022</v>
      </c>
      <c r="D1361">
        <v>0.105969148222669</v>
      </c>
      <c r="E1361">
        <v>0.154492415402567</v>
      </c>
      <c r="F1361">
        <v>0.242028621641978</v>
      </c>
      <c r="G1361">
        <v>0.346855431527362</v>
      </c>
      <c r="H1361">
        <v>-0.08065415350306601</v>
      </c>
      <c r="I1361">
        <v>1.721122112211221</v>
      </c>
    </row>
    <row r="1362" spans="1:9">
      <c r="A1362" s="1" t="s">
        <v>1374</v>
      </c>
      <c r="B1362">
        <f>HYPERLINK("https://www.suredividend.com/sure-analysis-research-database/","Patterson-UTI Energy Inc")</f>
        <v>0</v>
      </c>
      <c r="C1362">
        <v>-0.074049366244162</v>
      </c>
      <c r="D1362">
        <v>-0.019884758784318</v>
      </c>
      <c r="E1362">
        <v>-0.142256828574959</v>
      </c>
      <c r="F1362">
        <v>0.6551987311733071</v>
      </c>
      <c r="G1362">
        <v>0.543028025746779</v>
      </c>
      <c r="H1362">
        <v>3.795301433753672</v>
      </c>
      <c r="I1362">
        <v>-0.295084381649847</v>
      </c>
    </row>
    <row r="1363" spans="1:9">
      <c r="A1363" s="1" t="s">
        <v>1375</v>
      </c>
      <c r="B1363">
        <f>HYPERLINK("https://www.suredividend.com/sure-analysis-research-database/","Protagonist Therapeutics Inc")</f>
        <v>0</v>
      </c>
      <c r="C1363">
        <v>-0.085972850678733</v>
      </c>
      <c r="D1363">
        <v>-0.16008316008316</v>
      </c>
      <c r="E1363">
        <v>-0.678982916170043</v>
      </c>
      <c r="F1363">
        <v>-0.7637426900584791</v>
      </c>
      <c r="G1363">
        <v>-0.5570175438596491</v>
      </c>
      <c r="H1363">
        <v>-0.617786187322611</v>
      </c>
      <c r="I1363">
        <v>-0.5892221657346211</v>
      </c>
    </row>
    <row r="1364" spans="1:9">
      <c r="A1364" s="1" t="s">
        <v>1376</v>
      </c>
      <c r="B1364">
        <f>HYPERLINK("https://www.suredividend.com/sure-analysis-research-database/","Portillos Inc")</f>
        <v>0</v>
      </c>
      <c r="C1364">
        <v>-0.155974842767295</v>
      </c>
      <c r="D1364">
        <v>0.11092715231788</v>
      </c>
      <c r="E1364">
        <v>-0.103340757238307</v>
      </c>
      <c r="F1364">
        <v>-0.463771976558337</v>
      </c>
      <c r="G1364">
        <v>-0.308247422680412</v>
      </c>
      <c r="H1364">
        <v>-0.308247422680412</v>
      </c>
      <c r="I1364">
        <v>-0.308247422680412</v>
      </c>
    </row>
    <row r="1365" spans="1:9">
      <c r="A1365" s="1" t="s">
        <v>1377</v>
      </c>
      <c r="B1365">
        <f>HYPERLINK("https://www.suredividend.com/sure-analysis-research-database/","P.A.M. Transportation Services, Inc.")</f>
        <v>0</v>
      </c>
      <c r="C1365">
        <v>0.027993779160186</v>
      </c>
      <c r="D1365">
        <v>0.169083834453484</v>
      </c>
      <c r="E1365">
        <v>0.337515176042088</v>
      </c>
      <c r="F1365">
        <v>-0.06914519081819401</v>
      </c>
      <c r="G1365">
        <v>0.448925909688733</v>
      </c>
      <c r="H1365">
        <v>2.147619047619047</v>
      </c>
      <c r="I1365">
        <v>3.711332858161083</v>
      </c>
    </row>
    <row r="1366" spans="1:9">
      <c r="A1366" s="1" t="s">
        <v>1378</v>
      </c>
      <c r="B1366">
        <f>HYPERLINK("https://www.suredividend.com/sure-analysis-research-database/","Pactiv Evergreen Inc")</f>
        <v>0</v>
      </c>
      <c r="C1366">
        <v>-0.19009009009009</v>
      </c>
      <c r="D1366">
        <v>-0.012944806157292</v>
      </c>
      <c r="E1366">
        <v>-0.10267799215467</v>
      </c>
      <c r="F1366">
        <v>-0.269646034234834</v>
      </c>
      <c r="G1366">
        <v>-0.243807040417209</v>
      </c>
      <c r="H1366">
        <v>-0.315662870714329</v>
      </c>
      <c r="I1366">
        <v>-0.129086945991765</v>
      </c>
    </row>
    <row r="1367" spans="1:9">
      <c r="A1367" s="1" t="s">
        <v>1379</v>
      </c>
      <c r="B1367">
        <f>HYPERLINK("https://www.suredividend.com/sure-analysis-research-database/","ProPetro Holding Corp")</f>
        <v>0</v>
      </c>
      <c r="C1367">
        <v>0.04505494505494501</v>
      </c>
      <c r="D1367">
        <v>0.03707742639040301</v>
      </c>
      <c r="E1367">
        <v>-0.359595959595959</v>
      </c>
      <c r="F1367">
        <v>0.174074074074074</v>
      </c>
      <c r="G1367">
        <v>-0.045180722891566</v>
      </c>
      <c r="H1367">
        <v>1.113333333333333</v>
      </c>
      <c r="I1367">
        <v>-0.355691056910569</v>
      </c>
    </row>
    <row r="1368" spans="1:9">
      <c r="A1368" s="1" t="s">
        <v>1380</v>
      </c>
      <c r="B1368">
        <f>HYPERLINK("https://www.suredividend.com/sure-analysis-research-database/","Provident Bancorp Inc")</f>
        <v>0</v>
      </c>
      <c r="C1368">
        <v>-0.011134307585246</v>
      </c>
      <c r="D1368">
        <v>-0.07477943809616801</v>
      </c>
      <c r="E1368">
        <v>-0.06138328720614501</v>
      </c>
      <c r="F1368">
        <v>-0.23019415792667</v>
      </c>
      <c r="G1368">
        <v>-0.119791376309317</v>
      </c>
      <c r="H1368">
        <v>0.770540008472675</v>
      </c>
      <c r="I1368">
        <v>0.349657124404004</v>
      </c>
    </row>
    <row r="1369" spans="1:9">
      <c r="A1369" s="1" t="s">
        <v>1381</v>
      </c>
      <c r="B1369">
        <f>HYPERLINK("https://www.suredividend.com/sure-analysis-research-database/","PowerSchool Holdings Inc")</f>
        <v>0</v>
      </c>
      <c r="C1369">
        <v>-0.110011001100109</v>
      </c>
      <c r="D1369">
        <v>0.204765450483991</v>
      </c>
      <c r="E1369">
        <v>0.082274247491638</v>
      </c>
      <c r="F1369">
        <v>-0.017607771706132</v>
      </c>
      <c r="G1369">
        <v>-0.307955517536355</v>
      </c>
      <c r="H1369">
        <v>-0.101111111111111</v>
      </c>
      <c r="I1369">
        <v>-0.101111111111111</v>
      </c>
    </row>
    <row r="1370" spans="1:9">
      <c r="A1370" s="1" t="s">
        <v>1382</v>
      </c>
      <c r="B1370">
        <f>HYPERLINK("https://www.suredividend.com/sure-analysis-research-database/","Pyxis Oncology Inc")</f>
        <v>0</v>
      </c>
      <c r="C1370">
        <v>-0.349442379182156</v>
      </c>
      <c r="D1370">
        <v>-0.365942028985507</v>
      </c>
      <c r="E1370">
        <v>-0.534574468085106</v>
      </c>
      <c r="F1370">
        <v>-0.8404740200546941</v>
      </c>
      <c r="G1370">
        <v>-0.8674242424242421</v>
      </c>
      <c r="H1370">
        <v>-0.8674242424242421</v>
      </c>
      <c r="I1370">
        <v>-0.8674242424242421</v>
      </c>
    </row>
    <row r="1371" spans="1:9">
      <c r="A1371" s="1" t="s">
        <v>1383</v>
      </c>
      <c r="B1371">
        <f>HYPERLINK("https://www.suredividend.com/sure-analysis-research-database/","Pzena Investment Management Inc")</f>
        <v>0</v>
      </c>
      <c r="C1371">
        <v>-0.00208550573514</v>
      </c>
      <c r="D1371">
        <v>0.3953895280171471</v>
      </c>
      <c r="E1371">
        <v>0.292806484295846</v>
      </c>
      <c r="F1371">
        <v>0.07238906320035801</v>
      </c>
      <c r="G1371">
        <v>-0.020831628059261</v>
      </c>
      <c r="H1371">
        <v>0.7921348314606741</v>
      </c>
      <c r="I1371">
        <v>0.114332623048171</v>
      </c>
    </row>
    <row r="1372" spans="1:9">
      <c r="A1372" s="1" t="s">
        <v>1384</v>
      </c>
      <c r="B1372">
        <f>HYPERLINK("https://www.suredividend.com/sure-analysis-research-database/","Papa John`s International, Inc.")</f>
        <v>0</v>
      </c>
      <c r="C1372">
        <v>-0.168757396449704</v>
      </c>
      <c r="D1372">
        <v>-0.186072382082468</v>
      </c>
      <c r="E1372">
        <v>-0.317177875941019</v>
      </c>
      <c r="F1372">
        <v>-0.4674458859360671</v>
      </c>
      <c r="G1372">
        <v>-0.427791694670169</v>
      </c>
      <c r="H1372">
        <v>-0.09895463857485001</v>
      </c>
      <c r="I1372">
        <v>0.071558244621613</v>
      </c>
    </row>
    <row r="1373" spans="1:9">
      <c r="A1373" s="1" t="s">
        <v>1385</v>
      </c>
      <c r="B1373">
        <f>HYPERLINK("https://www.suredividend.com/sure-analysis-research-database/","QCR Holding, Inc.")</f>
        <v>0</v>
      </c>
      <c r="C1373">
        <v>-0.038159346883884</v>
      </c>
      <c r="D1373">
        <v>-0.026611019783983</v>
      </c>
      <c r="E1373">
        <v>-0.063053441908067</v>
      </c>
      <c r="F1373">
        <v>-0.05686914238516701</v>
      </c>
      <c r="G1373">
        <v>0.007689760195105</v>
      </c>
      <c r="H1373">
        <v>0.7390844698171051</v>
      </c>
      <c r="I1373">
        <v>0.115431477459341</v>
      </c>
    </row>
    <row r="1374" spans="1:9">
      <c r="A1374" s="1" t="s">
        <v>1386</v>
      </c>
      <c r="B1374">
        <f>HYPERLINK("https://www.suredividend.com/sure-analysis-research-database/","Qualys Inc")</f>
        <v>0</v>
      </c>
      <c r="C1374">
        <v>-0.179730997810447</v>
      </c>
      <c r="D1374">
        <v>-0.009218679159740001</v>
      </c>
      <c r="E1374">
        <v>-0.050749294143198</v>
      </c>
      <c r="F1374">
        <v>-0.044454161200991</v>
      </c>
      <c r="G1374">
        <v>0.193084622383985</v>
      </c>
      <c r="H1374">
        <v>0.312512512512512</v>
      </c>
      <c r="I1374">
        <v>1.553456669912366</v>
      </c>
    </row>
    <row r="1375" spans="1:9">
      <c r="A1375" s="1" t="s">
        <v>1387</v>
      </c>
      <c r="B1375">
        <f>HYPERLINK("https://www.suredividend.com/sure-analysis-research-database/","Quantum Corp")</f>
        <v>0</v>
      </c>
      <c r="C1375">
        <v>-0.321637426900584</v>
      </c>
      <c r="D1375">
        <v>-0.231788079470198</v>
      </c>
      <c r="E1375">
        <v>-0.4654377880184331</v>
      </c>
      <c r="F1375">
        <v>-0.7898550724637681</v>
      </c>
      <c r="G1375">
        <v>-0.776493256262042</v>
      </c>
      <c r="H1375">
        <v>-0.7598343685300201</v>
      </c>
      <c r="I1375">
        <v>-0.8073089700996671</v>
      </c>
    </row>
    <row r="1376" spans="1:9">
      <c r="A1376" s="1" t="s">
        <v>1388</v>
      </c>
      <c r="B1376">
        <f>HYPERLINK("https://www.suredividend.com/sure-analysis-research-database/","QuinStreet Inc")</f>
        <v>0</v>
      </c>
      <c r="C1376">
        <v>-0.054529463500439</v>
      </c>
      <c r="D1376">
        <v>0.013195098963242</v>
      </c>
      <c r="E1376">
        <v>-0.09206081081081001</v>
      </c>
      <c r="F1376">
        <v>-0.409015942825728</v>
      </c>
      <c r="G1376">
        <v>-0.39334085778781</v>
      </c>
      <c r="H1376">
        <v>-0.374636416521233</v>
      </c>
      <c r="I1376">
        <v>0.442953020134228</v>
      </c>
    </row>
    <row r="1377" spans="1:9">
      <c r="A1377" s="1" t="s">
        <v>1389</v>
      </c>
      <c r="B1377">
        <f>HYPERLINK("https://www.suredividend.com/sure-analysis-research-database/","Quotient Ltd")</f>
        <v>0</v>
      </c>
      <c r="C1377">
        <v>-0.242819843342036</v>
      </c>
      <c r="D1377">
        <v>-0.531351001939237</v>
      </c>
      <c r="E1377">
        <v>-0.8482311073895751</v>
      </c>
      <c r="F1377">
        <v>-0.9440154440154441</v>
      </c>
      <c r="G1377">
        <v>-0.9529220779220781</v>
      </c>
      <c r="H1377">
        <v>-0.9741532976827091</v>
      </c>
      <c r="I1377">
        <v>-0.972115384615384</v>
      </c>
    </row>
    <row r="1378" spans="1:9">
      <c r="A1378" s="1" t="s">
        <v>1390</v>
      </c>
      <c r="B1378">
        <f>HYPERLINK("https://www.suredividend.com/sure-analysis-research-database/","Quanterix Corp")</f>
        <v>0</v>
      </c>
      <c r="C1378">
        <v>-0.049504950495049</v>
      </c>
      <c r="D1378">
        <v>-0.499217527386541</v>
      </c>
      <c r="E1378">
        <v>-0.671907040328093</v>
      </c>
      <c r="F1378">
        <v>-0.7735849056603771</v>
      </c>
      <c r="G1378">
        <v>-0.7800687285223361</v>
      </c>
      <c r="H1378">
        <v>-0.791982665222101</v>
      </c>
      <c r="I1378">
        <v>-0.4504865483686311</v>
      </c>
    </row>
    <row r="1379" spans="1:9">
      <c r="A1379" s="1" t="s">
        <v>1391</v>
      </c>
      <c r="B1379">
        <f>HYPERLINK("https://www.suredividend.com/sure-analysis-research-database/","Q2 Holdings Inc")</f>
        <v>0</v>
      </c>
      <c r="C1379">
        <v>-0.23795898903195</v>
      </c>
      <c r="D1379">
        <v>-0.213195470211718</v>
      </c>
      <c r="E1379">
        <v>-0.4382140973809101</v>
      </c>
      <c r="F1379">
        <v>-0.597683786505538</v>
      </c>
      <c r="G1379">
        <v>-0.5810173046670161</v>
      </c>
      <c r="H1379">
        <v>-0.673344235486508</v>
      </c>
      <c r="I1379">
        <v>-0.235406698564593</v>
      </c>
    </row>
    <row r="1380" spans="1:9">
      <c r="A1380" s="1" t="s">
        <v>1392</v>
      </c>
      <c r="B1380">
        <f>HYPERLINK("https://www.suredividend.com/sure-analysis-research-database/","Quotient Technology Inc")</f>
        <v>0</v>
      </c>
      <c r="C1380">
        <v>0.173684210526315</v>
      </c>
      <c r="D1380">
        <v>-0.264026402640264</v>
      </c>
      <c r="E1380">
        <v>-0.64937106918239</v>
      </c>
      <c r="F1380">
        <v>-0.6994609164420481</v>
      </c>
      <c r="G1380">
        <v>-0.6226734348561761</v>
      </c>
      <c r="H1380">
        <v>-0.741599073001158</v>
      </c>
      <c r="I1380">
        <v>-0.8725714285714281</v>
      </c>
    </row>
    <row r="1381" spans="1:9">
      <c r="A1381" s="1" t="s">
        <v>1393</v>
      </c>
      <c r="B1381">
        <f>HYPERLINK("https://www.suredividend.com/sure-analysis-research-database/","Rite Aid Corp.")</f>
        <v>0</v>
      </c>
      <c r="C1381">
        <v>-0.406290956749672</v>
      </c>
      <c r="D1381">
        <v>-0.359264497878359</v>
      </c>
      <c r="E1381">
        <v>-0.396804260985352</v>
      </c>
      <c r="F1381">
        <v>-0.6916269571136821</v>
      </c>
      <c r="G1381">
        <v>-0.667888563049853</v>
      </c>
      <c r="H1381">
        <v>-0.550148957298907</v>
      </c>
      <c r="I1381">
        <v>-0.8782258064516121</v>
      </c>
    </row>
    <row r="1382" spans="1:9">
      <c r="A1382" s="1" t="s">
        <v>1394</v>
      </c>
      <c r="B1382">
        <f>HYPERLINK("https://www.suredividend.com/sure-analysis-research-database/","Radius Global Infrastructure Inc")</f>
        <v>0</v>
      </c>
      <c r="C1382">
        <v>-0.386026817219477</v>
      </c>
      <c r="D1382">
        <v>-0.41571524513096</v>
      </c>
      <c r="E1382">
        <v>-0.352678571428571</v>
      </c>
      <c r="F1382">
        <v>-0.459627329192546</v>
      </c>
      <c r="G1382">
        <v>-0.487028301886792</v>
      </c>
      <c r="H1382">
        <v>0.023529411764705</v>
      </c>
      <c r="I1382">
        <v>-0.005714285714285</v>
      </c>
    </row>
    <row r="1383" spans="1:9">
      <c r="A1383" s="1" t="s">
        <v>1395</v>
      </c>
      <c r="B1383">
        <f>HYPERLINK("https://www.suredividend.com/sure-analysis-research-database/","Rain Therapeutics Inc")</f>
        <v>0</v>
      </c>
      <c r="C1383">
        <v>-0.161403508771929</v>
      </c>
      <c r="D1383">
        <v>-0.047808764940238</v>
      </c>
      <c r="E1383">
        <v>0.143540669856459</v>
      </c>
      <c r="F1383">
        <v>-0.628881987577639</v>
      </c>
      <c r="G1383">
        <v>-0.618819776714513</v>
      </c>
      <c r="H1383">
        <v>-0.697468354430379</v>
      </c>
      <c r="I1383">
        <v>-0.697468354430379</v>
      </c>
    </row>
    <row r="1384" spans="1:9">
      <c r="A1384" s="1" t="s">
        <v>1396</v>
      </c>
      <c r="B1384">
        <f>HYPERLINK("https://www.suredividend.com/sure-analysis-research-database/","LiveRamp Holdings Inc")</f>
        <v>0</v>
      </c>
      <c r="C1384">
        <v>-0.12762836185819</v>
      </c>
      <c r="D1384">
        <v>-0.3724938445304251</v>
      </c>
      <c r="E1384">
        <v>-0.532617238669111</v>
      </c>
      <c r="F1384">
        <v>-0.627945776850886</v>
      </c>
      <c r="G1384">
        <v>-0.632164948453608</v>
      </c>
      <c r="H1384">
        <v>-0.683575736076622</v>
      </c>
      <c r="I1384">
        <v>-0.629798713426022</v>
      </c>
    </row>
    <row r="1385" spans="1:9">
      <c r="A1385" s="1" t="s">
        <v>1397</v>
      </c>
      <c r="B1385">
        <f>HYPERLINK("https://www.suredividend.com/sure-analysis-research-database/","RAPT Therapeutics Inc")</f>
        <v>0</v>
      </c>
      <c r="C1385">
        <v>-0.137891520244461</v>
      </c>
      <c r="D1385">
        <v>0.09776264591439601</v>
      </c>
      <c r="E1385">
        <v>-0.04242681374628701</v>
      </c>
      <c r="F1385">
        <v>-0.3855159270351211</v>
      </c>
      <c r="G1385">
        <v>-0.269342829394626</v>
      </c>
      <c r="H1385">
        <v>-0.414830178895514</v>
      </c>
      <c r="I1385">
        <v>0.736153846153846</v>
      </c>
    </row>
    <row r="1386" spans="1:9">
      <c r="A1386" s="1" t="s">
        <v>1398</v>
      </c>
      <c r="B1386">
        <f>HYPERLINK("https://www.suredividend.com/sure-analysis-research-database/","RBB Bancorp")</f>
        <v>0</v>
      </c>
      <c r="C1386">
        <v>-0.04744011272898</v>
      </c>
      <c r="D1386">
        <v>-0.025070307429752</v>
      </c>
      <c r="E1386">
        <v>-0.108775137111517</v>
      </c>
      <c r="F1386">
        <v>-0.212157941354715</v>
      </c>
      <c r="G1386">
        <v>-0.188920039834104</v>
      </c>
      <c r="H1386">
        <v>0.7192268565615461</v>
      </c>
      <c r="I1386">
        <v>-0.027314803712319</v>
      </c>
    </row>
    <row r="1387" spans="1:9">
      <c r="A1387" s="1" t="s">
        <v>1399</v>
      </c>
      <c r="B1387">
        <f>HYPERLINK("https://www.suredividend.com/sure-analysis-research-database/","Ribbon Communications Inc")</f>
        <v>0</v>
      </c>
      <c r="C1387">
        <v>-0.281733746130031</v>
      </c>
      <c r="D1387">
        <v>-0.270440251572327</v>
      </c>
      <c r="E1387">
        <v>-0.229235880398671</v>
      </c>
      <c r="F1387">
        <v>-0.6165289256198341</v>
      </c>
      <c r="G1387">
        <v>-0.619672131147541</v>
      </c>
      <c r="H1387">
        <v>-0.417085427135678</v>
      </c>
      <c r="I1387">
        <v>-0.703324808184143</v>
      </c>
    </row>
    <row r="1388" spans="1:9">
      <c r="A1388" s="1" t="s">
        <v>1400</v>
      </c>
      <c r="B1388">
        <f>HYPERLINK("https://www.suredividend.com/sure-analysis-research-database/","Republic Bancorp, Inc. (KY)")</f>
        <v>0</v>
      </c>
      <c r="C1388">
        <v>-0.046909721374325</v>
      </c>
      <c r="D1388">
        <v>-0.200758491045136</v>
      </c>
      <c r="E1388">
        <v>-0.09641482963148101</v>
      </c>
      <c r="F1388">
        <v>-0.214148943238721</v>
      </c>
      <c r="G1388">
        <v>-0.228689661714312</v>
      </c>
      <c r="H1388">
        <v>0.317975524758894</v>
      </c>
      <c r="I1388">
        <v>0.08292731651554301</v>
      </c>
    </row>
    <row r="1389" spans="1:9">
      <c r="A1389" s="1" t="s">
        <v>1401</v>
      </c>
      <c r="B1389">
        <f>HYPERLINK("https://www.suredividend.com/sure-analysis-research-database/","Ready Capital Corp")</f>
        <v>0</v>
      </c>
      <c r="C1389">
        <v>-0.22027591424579</v>
      </c>
      <c r="D1389">
        <v>-0.144720128715386</v>
      </c>
      <c r="E1389">
        <v>-0.262477637007557</v>
      </c>
      <c r="F1389">
        <v>-0.285431288204663</v>
      </c>
      <c r="G1389">
        <v>-0.220287953062878</v>
      </c>
      <c r="H1389">
        <v>0.11125781181234</v>
      </c>
      <c r="I1389">
        <v>-0.3112806769906371</v>
      </c>
    </row>
    <row r="1390" spans="1:9">
      <c r="A1390" s="1" t="s">
        <v>1402</v>
      </c>
      <c r="B1390">
        <f>HYPERLINK("https://www.suredividend.com/sure-analysis-research-database/","AVITA Medical Inc")</f>
        <v>0</v>
      </c>
      <c r="C1390">
        <v>-0.272869429241594</v>
      </c>
      <c r="D1390">
        <v>-0.232673267326732</v>
      </c>
      <c r="E1390">
        <v>-0.452941176470588</v>
      </c>
      <c r="F1390">
        <v>-0.611853088480801</v>
      </c>
      <c r="G1390">
        <v>-0.728387850467289</v>
      </c>
      <c r="H1390">
        <v>-0.8259730538922151</v>
      </c>
      <c r="I1390">
        <v>-0.8477406679764241</v>
      </c>
    </row>
    <row r="1391" spans="1:9">
      <c r="A1391" s="1" t="s">
        <v>1403</v>
      </c>
      <c r="B1391">
        <f>HYPERLINK("https://www.suredividend.com/sure-analysis-research-database/","Rent-a-Center Inc.")</f>
        <v>0</v>
      </c>
      <c r="C1391">
        <v>-0.265279634107712</v>
      </c>
      <c r="D1391">
        <v>-0.058872428227889</v>
      </c>
      <c r="E1391">
        <v>-0.195570988111199</v>
      </c>
      <c r="F1391">
        <v>-0.5836470938479591</v>
      </c>
      <c r="G1391">
        <v>-0.630574163887556</v>
      </c>
      <c r="H1391">
        <v>-0.396975365397419</v>
      </c>
      <c r="I1391">
        <v>0.920048455481526</v>
      </c>
    </row>
    <row r="1392" spans="1:9">
      <c r="A1392" s="1" t="s">
        <v>1404</v>
      </c>
      <c r="B1392">
        <f>HYPERLINK("https://www.suredividend.com/sure-analysis-research-database/","Rocket Pharmaceuticals Inc")</f>
        <v>0</v>
      </c>
      <c r="C1392">
        <v>0.043695380774032</v>
      </c>
      <c r="D1392">
        <v>0.00360144057623</v>
      </c>
      <c r="E1392">
        <v>0.174982431482782</v>
      </c>
      <c r="F1392">
        <v>-0.234081539166284</v>
      </c>
      <c r="G1392">
        <v>-0.421052631578947</v>
      </c>
      <c r="H1392">
        <v>-0.413539109084531</v>
      </c>
      <c r="I1392">
        <v>0.519999999999999</v>
      </c>
    </row>
    <row r="1393" spans="1:9">
      <c r="A1393" s="1" t="s">
        <v>1405</v>
      </c>
      <c r="B1393">
        <f>HYPERLINK("https://www.suredividend.com/sure-analysis-research-database/","Rocky Brands, Inc")</f>
        <v>0</v>
      </c>
      <c r="C1393">
        <v>-0.271386430678466</v>
      </c>
      <c r="D1393">
        <v>-0.3991875653717981</v>
      </c>
      <c r="E1393">
        <v>-0.4974746575656001</v>
      </c>
      <c r="F1393">
        <v>-0.4986616600489661</v>
      </c>
      <c r="G1393">
        <v>-0.5940713045800501</v>
      </c>
      <c r="H1393">
        <v>-0.228254629105267</v>
      </c>
      <c r="I1393">
        <v>0.4635627680297451</v>
      </c>
    </row>
    <row r="1394" spans="1:9">
      <c r="A1394" s="1" t="s">
        <v>1406</v>
      </c>
      <c r="B1394">
        <f>HYPERLINK("https://www.suredividend.com/sure-analysis-research-database/","R1 RCM Inc.")</f>
        <v>0</v>
      </c>
      <c r="C1394">
        <v>-0.197575213291423</v>
      </c>
      <c r="D1394">
        <v>-0.243437764606265</v>
      </c>
      <c r="E1394">
        <v>-0.126161369193153</v>
      </c>
      <c r="F1394">
        <v>-0.126161369193153</v>
      </c>
      <c r="G1394">
        <v>-0.126161369193153</v>
      </c>
      <c r="H1394">
        <v>-0.126161369193153</v>
      </c>
      <c r="I1394">
        <v>-0.126161369193153</v>
      </c>
    </row>
    <row r="1395" spans="1:9">
      <c r="A1395" s="1" t="s">
        <v>1407</v>
      </c>
      <c r="B1395">
        <f>HYPERLINK("https://www.suredividend.com/sure-analysis-research-database/","Arcus Biosciences Inc")</f>
        <v>0</v>
      </c>
      <c r="C1395">
        <v>0.027101335428122</v>
      </c>
      <c r="D1395">
        <v>-0.091382904794996</v>
      </c>
      <c r="E1395">
        <v>-0.224035608308605</v>
      </c>
      <c r="F1395">
        <v>-0.353842352359772</v>
      </c>
      <c r="G1395">
        <v>-0.169313850063532</v>
      </c>
      <c r="H1395">
        <v>0.332144676515537</v>
      </c>
      <c r="I1395">
        <v>0.538235294117646</v>
      </c>
    </row>
    <row r="1396" spans="1:9">
      <c r="A1396" s="1" t="s">
        <v>1408</v>
      </c>
      <c r="B1396">
        <f>HYPERLINK("https://www.suredividend.com/sure-analysis-research-database/","Redfin Corp")</f>
        <v>0</v>
      </c>
      <c r="C1396">
        <v>-0.432273262661955</v>
      </c>
      <c r="D1396">
        <v>-0.492631578947368</v>
      </c>
      <c r="E1396">
        <v>-0.6857887874837021</v>
      </c>
      <c r="F1396">
        <v>-0.8744464704350091</v>
      </c>
      <c r="G1396">
        <v>-0.900268984067866</v>
      </c>
      <c r="H1396">
        <v>-0.912091920481488</v>
      </c>
      <c r="I1396">
        <v>-0.8097118041847611</v>
      </c>
    </row>
    <row r="1397" spans="1:9">
      <c r="A1397" s="1" t="s">
        <v>1409</v>
      </c>
      <c r="B1397">
        <f>HYPERLINK("https://www.suredividend.com/sure-analysis-research-database/","Radian Group, Inc.")</f>
        <v>0</v>
      </c>
      <c r="C1397">
        <v>-0.09593572778827901</v>
      </c>
      <c r="D1397">
        <v>-0.05789999852258201</v>
      </c>
      <c r="E1397">
        <v>-0.108524241802896</v>
      </c>
      <c r="F1397">
        <v>-0.07037996335946101</v>
      </c>
      <c r="G1397">
        <v>-0.152163025798531</v>
      </c>
      <c r="H1397">
        <v>0.162373843246626</v>
      </c>
      <c r="I1397">
        <v>0.104643776923165</v>
      </c>
    </row>
    <row r="1398" spans="1:9">
      <c r="A1398" s="1" t="s">
        <v>1410</v>
      </c>
      <c r="B1398">
        <f>HYPERLINK("https://www.suredividend.com/sure-analysis-research-database/","Radnet Inc")</f>
        <v>0</v>
      </c>
      <c r="C1398">
        <v>-0.135097493036211</v>
      </c>
      <c r="D1398">
        <v>0.019704433497536</v>
      </c>
      <c r="E1398">
        <v>-0.115804461319411</v>
      </c>
      <c r="F1398">
        <v>-0.3812686815011621</v>
      </c>
      <c r="G1398">
        <v>-0.340764331210191</v>
      </c>
      <c r="H1398">
        <v>0.102366863905325</v>
      </c>
      <c r="I1398">
        <v>0.648672566371681</v>
      </c>
    </row>
    <row r="1399" spans="1:9">
      <c r="A1399" s="1" t="s">
        <v>1411</v>
      </c>
      <c r="B1399">
        <f>HYPERLINK("https://www.suredividend.com/sure-analysis-research-database/","Radius Health Inc.")</f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>
      <c r="A1400" s="1" t="s">
        <v>1412</v>
      </c>
      <c r="B1400">
        <f>HYPERLINK("https://www.suredividend.com/sure-analysis-research-database/","Therealreal Inc")</f>
        <v>0</v>
      </c>
      <c r="C1400">
        <v>-0.444444444444444</v>
      </c>
      <c r="D1400">
        <v>-0.539249146757679</v>
      </c>
      <c r="E1400">
        <v>-0.804913294797687</v>
      </c>
      <c r="F1400">
        <v>-0.883720930232558</v>
      </c>
      <c r="G1400">
        <v>-0.884516680923866</v>
      </c>
      <c r="H1400">
        <v>-0.9129032258064511</v>
      </c>
      <c r="I1400">
        <v>-0.9532871972318341</v>
      </c>
    </row>
    <row r="1401" spans="1:9">
      <c r="A1401" s="1" t="s">
        <v>1413</v>
      </c>
      <c r="B1401">
        <f>HYPERLINK("https://www.suredividend.com/sure-analysis-research-database/","Chicago Atlantic Real Estate Finance Inc")</f>
        <v>0</v>
      </c>
      <c r="C1401">
        <v>0.026024086197298</v>
      </c>
      <c r="D1401">
        <v>0.007459071975201001</v>
      </c>
      <c r="E1401">
        <v>-0.105310376187491</v>
      </c>
      <c r="F1401">
        <v>-0.04961455865170501</v>
      </c>
      <c r="G1401">
        <v>-0.040394387361677</v>
      </c>
      <c r="H1401">
        <v>-0.040394387361677</v>
      </c>
      <c r="I1401">
        <v>-0.040394387361677</v>
      </c>
    </row>
    <row r="1402" spans="1:9">
      <c r="A1402" s="1" t="s">
        <v>1414</v>
      </c>
      <c r="B1402">
        <f>HYPERLINK("https://www.suredividend.com/sure-analysis-research-database/","Renewable Energy Group Inc")</f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>
      <c r="A1403" s="1" t="s">
        <v>1415</v>
      </c>
      <c r="B1403">
        <f>HYPERLINK("https://www.suredividend.com/sure-analysis-research-database/","Rekor Systems Inc")</f>
        <v>0</v>
      </c>
      <c r="C1403">
        <v>-0.08620689655172301</v>
      </c>
      <c r="D1403">
        <v>-0.43010752688172</v>
      </c>
      <c r="E1403">
        <v>-0.7363184079601991</v>
      </c>
      <c r="F1403">
        <v>-0.838167938931297</v>
      </c>
      <c r="G1403">
        <v>-0.9114452798663321</v>
      </c>
      <c r="H1403">
        <v>-0.8417910447761191</v>
      </c>
      <c r="I1403">
        <v>-0.7656163626312881</v>
      </c>
    </row>
    <row r="1404" spans="1:9">
      <c r="A1404" s="1" t="s">
        <v>1416</v>
      </c>
      <c r="B1404">
        <f>HYPERLINK("https://www.suredividend.com/sure-analysis-research-database/","Remitly Global Inc")</f>
        <v>0</v>
      </c>
      <c r="C1404">
        <v>-0.05787234042553101</v>
      </c>
      <c r="D1404">
        <v>0.238255033557047</v>
      </c>
      <c r="E1404">
        <v>0.093873517786561</v>
      </c>
      <c r="F1404">
        <v>-0.463142580019398</v>
      </c>
      <c r="G1404">
        <v>-0.716153846153846</v>
      </c>
      <c r="H1404">
        <v>-0.7715170278637771</v>
      </c>
      <c r="I1404">
        <v>-0.7715170278637771</v>
      </c>
    </row>
    <row r="1405" spans="1:9">
      <c r="A1405" s="1" t="s">
        <v>1417</v>
      </c>
      <c r="B1405">
        <f>HYPERLINK("https://www.suredividend.com/sure-analysis-research-database/","Rent the Runway Inc")</f>
        <v>0</v>
      </c>
      <c r="C1405">
        <v>-0.515625</v>
      </c>
      <c r="D1405">
        <v>-0.4450127877237851</v>
      </c>
      <c r="E1405">
        <v>-0.5996309963099631</v>
      </c>
      <c r="F1405">
        <v>-0.7337423312883431</v>
      </c>
      <c r="G1405">
        <v>-0.887506480041472</v>
      </c>
      <c r="H1405">
        <v>-0.887506480041472</v>
      </c>
      <c r="I1405">
        <v>-0.887506480041472</v>
      </c>
    </row>
    <row r="1406" spans="1:9">
      <c r="A1406" s="1" t="s">
        <v>1418</v>
      </c>
      <c r="B1406">
        <f>HYPERLINK("https://www.suredividend.com/sure-analysis-research-database/","Replimune Group Inc")</f>
        <v>0</v>
      </c>
      <c r="C1406">
        <v>-0.06917211328976</v>
      </c>
      <c r="D1406">
        <v>-0.191962174940898</v>
      </c>
      <c r="E1406">
        <v>-0.121336760925449</v>
      </c>
      <c r="F1406">
        <v>-0.369372693726937</v>
      </c>
      <c r="G1406">
        <v>-0.4481756538585721</v>
      </c>
      <c r="H1406">
        <v>-0.289987536352305</v>
      </c>
      <c r="I1406">
        <v>0.12730870712401</v>
      </c>
    </row>
    <row r="1407" spans="1:9">
      <c r="A1407" s="1" t="s">
        <v>1419</v>
      </c>
      <c r="B1407">
        <f>HYPERLINK("https://www.suredividend.com/sure-analysis-research-database/","Riley Exploration Permian Inc.")</f>
        <v>0</v>
      </c>
      <c r="C1407">
        <v>-0.051637279596977</v>
      </c>
      <c r="D1407">
        <v>-0.025663144274315</v>
      </c>
      <c r="E1407">
        <v>-0.143416173091361</v>
      </c>
      <c r="F1407">
        <v>0.213543988955084</v>
      </c>
      <c r="G1407">
        <v>-0.03465251336487001</v>
      </c>
      <c r="H1407">
        <v>1.137736875724526</v>
      </c>
      <c r="I1407">
        <v>2.040110892048475</v>
      </c>
    </row>
    <row r="1408" spans="1:9">
      <c r="A1408" s="1" t="s">
        <v>1420</v>
      </c>
      <c r="B1408">
        <f>HYPERLINK("https://www.suredividend.com/sure-analysis-research-database/","RPC, Inc.")</f>
        <v>0</v>
      </c>
      <c r="C1408">
        <v>-0.011335012594458</v>
      </c>
      <c r="D1408">
        <v>0.226141014026428</v>
      </c>
      <c r="E1408">
        <v>-0.328342245989304</v>
      </c>
      <c r="F1408">
        <v>0.733886999160666</v>
      </c>
      <c r="G1408">
        <v>0.444368801633884</v>
      </c>
      <c r="H1408">
        <v>1.791408861389659</v>
      </c>
      <c r="I1408">
        <v>-0.6398917381531261</v>
      </c>
    </row>
    <row r="1409" spans="1:9">
      <c r="A1409" s="1" t="s">
        <v>1421</v>
      </c>
      <c r="B1409">
        <f>HYPERLINK("https://www.suredividend.com/sure-analysis-research-database/","Reata Pharmaceuticals Inc")</f>
        <v>0</v>
      </c>
      <c r="C1409">
        <v>-0.164150943396226</v>
      </c>
      <c r="D1409">
        <v>-0.382664437012263</v>
      </c>
      <c r="E1409">
        <v>-0.328584419521067</v>
      </c>
      <c r="F1409">
        <v>-0.16003033750474</v>
      </c>
      <c r="G1409">
        <v>-0.776240024244873</v>
      </c>
      <c r="H1409">
        <v>-0.7981408912785921</v>
      </c>
      <c r="I1409">
        <v>-0.298384542286981</v>
      </c>
    </row>
    <row r="1410" spans="1:9">
      <c r="A1410" s="1" t="s">
        <v>1422</v>
      </c>
      <c r="B1410">
        <f>HYPERLINK("https://www.suredividend.com/sure-analysis-research-database/","Revlon, Inc.")</f>
        <v>0</v>
      </c>
      <c r="C1410">
        <v>-0.348348348348348</v>
      </c>
      <c r="D1410">
        <v>-0.241258741258741</v>
      </c>
      <c r="E1410">
        <v>-0.442159383033419</v>
      </c>
      <c r="F1410">
        <v>-0.617283950617284</v>
      </c>
      <c r="G1410">
        <v>-0.5698711595639241</v>
      </c>
      <c r="H1410">
        <v>-0.294308943089431</v>
      </c>
      <c r="I1410">
        <v>-0.79813953488372</v>
      </c>
    </row>
    <row r="1411" spans="1:9">
      <c r="A1411" s="1" t="s">
        <v>1423</v>
      </c>
      <c r="B1411">
        <f>HYPERLINK("https://www.suredividend.com/sure-analysis-research-database/","REV Group Inc")</f>
        <v>0</v>
      </c>
      <c r="C1411">
        <v>-0.029779457573618</v>
      </c>
      <c r="D1411">
        <v>0.09831209741877801</v>
      </c>
      <c r="E1411">
        <v>-0.013946577516631</v>
      </c>
      <c r="F1411">
        <v>-0.16431750211067</v>
      </c>
      <c r="G1411">
        <v>-0.264793821246703</v>
      </c>
      <c r="H1411">
        <v>0.380092636355043</v>
      </c>
      <c r="I1411">
        <v>-0.567474689122432</v>
      </c>
    </row>
    <row r="1412" spans="1:9">
      <c r="A1412" s="1" t="s">
        <v>1424</v>
      </c>
      <c r="B1412">
        <f>HYPERLINK("https://www.suredividend.com/sure-analysis-research-database/","REX American Resources Corp")</f>
        <v>0</v>
      </c>
      <c r="C1412">
        <v>-0.027682843472317</v>
      </c>
      <c r="D1412">
        <v>0.0007034822370730001</v>
      </c>
      <c r="E1412">
        <v>-0.002454417952314</v>
      </c>
      <c r="F1412">
        <v>-0.1109375</v>
      </c>
      <c r="G1412">
        <v>0.021543985637342</v>
      </c>
      <c r="H1412">
        <v>0.174164259182831</v>
      </c>
      <c r="I1412">
        <v>-0.071272112374442</v>
      </c>
    </row>
    <row r="1413" spans="1:9">
      <c r="A1413" s="1" t="s">
        <v>1425</v>
      </c>
      <c r="B1413">
        <f>HYPERLINK("https://www.suredividend.com/sure-analysis-research-database/","Resideo Technologies Inc")</f>
        <v>0</v>
      </c>
      <c r="C1413">
        <v>-0.00919540229885</v>
      </c>
      <c r="D1413">
        <v>0.059488692232055</v>
      </c>
      <c r="E1413">
        <v>0.004193849021435</v>
      </c>
      <c r="F1413">
        <v>-0.172109104878985</v>
      </c>
      <c r="G1413">
        <v>-0.08375850340136001</v>
      </c>
      <c r="H1413">
        <v>0.769293924466338</v>
      </c>
      <c r="I1413">
        <v>-0.256896551724137</v>
      </c>
    </row>
    <row r="1414" spans="1:9">
      <c r="A1414" s="1" t="s">
        <v>1426</v>
      </c>
      <c r="B1414">
        <f>HYPERLINK("https://www.suredividend.com/sure-analysis-research-database/","Rafael Holdings Inc")</f>
        <v>0</v>
      </c>
      <c r="C1414">
        <v>-0.206422018348623</v>
      </c>
      <c r="D1414">
        <v>-0.199074074074074</v>
      </c>
      <c r="E1414">
        <v>-0.22072072072072</v>
      </c>
      <c r="F1414">
        <v>-0.6607843137254901</v>
      </c>
      <c r="G1414">
        <v>-0.9456658291457281</v>
      </c>
      <c r="H1414">
        <v>-0.8997101449275361</v>
      </c>
      <c r="I1414">
        <v>-0.6469387755102041</v>
      </c>
    </row>
    <row r="1415" spans="1:9">
      <c r="A1415" s="1" t="s">
        <v>1427</v>
      </c>
      <c r="B1415">
        <f>HYPERLINK("https://www.suredividend.com/sure-analysis-research-database/","Regenxbio Inc")</f>
        <v>0</v>
      </c>
      <c r="C1415">
        <v>-0.238656044336681</v>
      </c>
      <c r="D1415">
        <v>-0.206498194945848</v>
      </c>
      <c r="E1415">
        <v>-0.306624605678233</v>
      </c>
      <c r="F1415">
        <v>-0.32782874617737</v>
      </c>
      <c r="G1415">
        <v>-0.305967792863909</v>
      </c>
      <c r="H1415">
        <v>-0.24931693989071</v>
      </c>
      <c r="I1415">
        <v>-0.334947049924357</v>
      </c>
    </row>
    <row r="1416" spans="1:9">
      <c r="A1416" s="1" t="s">
        <v>1428</v>
      </c>
      <c r="B1416">
        <f>HYPERLINK("https://www.suredividend.com/sure-analysis-research-database/","Resources Connection Inc")</f>
        <v>0</v>
      </c>
      <c r="C1416">
        <v>-0.163076923076923</v>
      </c>
      <c r="D1416">
        <v>-0.222446150107914</v>
      </c>
      <c r="E1416">
        <v>-0.07439441460551101</v>
      </c>
      <c r="F1416">
        <v>-0.063484503308218</v>
      </c>
      <c r="G1416">
        <v>-0.055386093570027</v>
      </c>
      <c r="H1416">
        <v>0.505312868949232</v>
      </c>
      <c r="I1416">
        <v>0.190094215792083</v>
      </c>
    </row>
    <row r="1417" spans="1:9">
      <c r="A1417" s="1" t="s">
        <v>1429</v>
      </c>
      <c r="B1417">
        <f>HYPERLINK("https://www.suredividend.com/sure-analysis-research-database/","Sturm, Ruger &amp; Co., Inc.")</f>
        <v>0</v>
      </c>
      <c r="C1417">
        <v>-0.025517751479289</v>
      </c>
      <c r="D1417">
        <v>-0.163819899182384</v>
      </c>
      <c r="E1417">
        <v>-0.249777210879511</v>
      </c>
      <c r="F1417">
        <v>-0.200987318895512</v>
      </c>
      <c r="G1417">
        <v>-0.27755371737682</v>
      </c>
      <c r="H1417">
        <v>-0.126337846978156</v>
      </c>
      <c r="I1417">
        <v>0.193795885821465</v>
      </c>
    </row>
    <row r="1418" spans="1:9">
      <c r="A1418" s="1" t="s">
        <v>1430</v>
      </c>
      <c r="B1418">
        <f>HYPERLINK("https://www.suredividend.com/sure-analysis-research-database/","Regis Corp.")</f>
        <v>0</v>
      </c>
      <c r="C1418">
        <v>-0.25735294117647</v>
      </c>
      <c r="D1418">
        <v>-0.229007633587786</v>
      </c>
      <c r="E1418">
        <v>-0.4569892473118281</v>
      </c>
      <c r="F1418">
        <v>-0.419540229885057</v>
      </c>
      <c r="G1418">
        <v>-0.6720779220779221</v>
      </c>
      <c r="H1418">
        <v>-0.8557142857142851</v>
      </c>
      <c r="I1418">
        <v>-0.932801064537591</v>
      </c>
    </row>
    <row r="1419" spans="1:9">
      <c r="A1419" s="1" t="s">
        <v>1431</v>
      </c>
      <c r="B1419">
        <f>HYPERLINK("https://www.suredividend.com/sure-analysis-research-database/","Ryman Hospitality Properties Inc")</f>
        <v>0</v>
      </c>
      <c r="C1419">
        <v>-0.107890473085577</v>
      </c>
      <c r="D1419">
        <v>0.028424186592969</v>
      </c>
      <c r="E1419">
        <v>-0.105407043859791</v>
      </c>
      <c r="F1419">
        <v>-0.161246838206551</v>
      </c>
      <c r="G1419">
        <v>-0.105510925934957</v>
      </c>
      <c r="H1419">
        <v>0.8127307684161721</v>
      </c>
      <c r="I1419">
        <v>0.366395504358345</v>
      </c>
    </row>
    <row r="1420" spans="1:9">
      <c r="A1420" s="1" t="s">
        <v>1432</v>
      </c>
      <c r="B1420">
        <f>HYPERLINK("https://www.suredividend.com/sure-analysis-research-database/","RCI Hospitality Holdings Inc")</f>
        <v>0</v>
      </c>
      <c r="C1420">
        <v>0.003412969283276</v>
      </c>
      <c r="D1420">
        <v>0.354757277663134</v>
      </c>
      <c r="E1420">
        <v>0.141340949024492</v>
      </c>
      <c r="F1420">
        <v>-0.129478768654026</v>
      </c>
      <c r="G1420">
        <v>-0.05699188499819301</v>
      </c>
      <c r="H1420">
        <v>1.787844306192873</v>
      </c>
      <c r="I1420">
        <v>1.627356052982294</v>
      </c>
    </row>
    <row r="1421" spans="1:9">
      <c r="A1421" s="1" t="s">
        <v>1433</v>
      </c>
      <c r="B1421">
        <f>HYPERLINK("https://www.suredividend.com/sure-analysis-research-database/","Lordstown Motors Corp.")</f>
        <v>0</v>
      </c>
      <c r="C1421">
        <v>-0.213930348258706</v>
      </c>
      <c r="D1421">
        <v>-0.141304347826086</v>
      </c>
      <c r="E1421">
        <v>-0.455172413793103</v>
      </c>
      <c r="F1421">
        <v>-0.5420289855072461</v>
      </c>
      <c r="G1421">
        <v>-0.676891615541922</v>
      </c>
      <c r="H1421">
        <v>-0.9318965517241381</v>
      </c>
      <c r="I1421">
        <v>-0.8377823408624231</v>
      </c>
    </row>
    <row r="1422" spans="1:9">
      <c r="A1422" s="1" t="s">
        <v>1434</v>
      </c>
      <c r="B1422">
        <f>HYPERLINK("https://www.suredividend.com/sure-analysis-research-database/","Rigel Pharmaceuticals")</f>
        <v>0</v>
      </c>
      <c r="C1422">
        <v>-0.202797202797202</v>
      </c>
      <c r="D1422">
        <v>-0.17391304347826</v>
      </c>
      <c r="E1422">
        <v>-0.628664495114006</v>
      </c>
      <c r="F1422">
        <v>-0.5698113207547171</v>
      </c>
      <c r="G1422">
        <v>-0.66860465116279</v>
      </c>
      <c r="H1422">
        <v>-0.5546875</v>
      </c>
      <c r="I1422">
        <v>-0.7076923076923071</v>
      </c>
    </row>
    <row r="1423" spans="1:9">
      <c r="A1423" s="1" t="s">
        <v>1435</v>
      </c>
      <c r="B1423">
        <f>HYPERLINK("https://www.suredividend.com/sure-analysis-research-database/","B. Riley Financial Inc")</f>
        <v>0</v>
      </c>
      <c r="C1423">
        <v>-0.132064364207221</v>
      </c>
      <c r="D1423">
        <v>0.019815266563063</v>
      </c>
      <c r="E1423">
        <v>-0.212630664501979</v>
      </c>
      <c r="F1423">
        <v>-0.474279764465923</v>
      </c>
      <c r="G1423">
        <v>-0.205744926141281</v>
      </c>
      <c r="H1423">
        <v>0.8162480905372771</v>
      </c>
      <c r="I1423">
        <v>2.187150515939356</v>
      </c>
    </row>
    <row r="1424" spans="1:9">
      <c r="A1424" s="1" t="s">
        <v>1436</v>
      </c>
      <c r="B1424">
        <f>HYPERLINK("https://www.suredividend.com/sure-analysis-research-database/","Riot Blockchain Inc")</f>
        <v>0</v>
      </c>
      <c r="C1424">
        <v>-0.22639225181598</v>
      </c>
      <c r="D1424">
        <v>0.17032967032967</v>
      </c>
      <c r="E1424">
        <v>-0.616906474820143</v>
      </c>
      <c r="F1424">
        <v>-0.7138378862516791</v>
      </c>
      <c r="G1424">
        <v>-0.7526132404181181</v>
      </c>
      <c r="H1424">
        <v>1.064620355411954</v>
      </c>
      <c r="I1424">
        <v>-0.181084198385236</v>
      </c>
    </row>
    <row r="1425" spans="1:9">
      <c r="A1425" s="1" t="s">
        <v>1437</v>
      </c>
      <c r="B1425">
        <f>HYPERLINK("https://www.suredividend.com/sure-analysis-research-database/","Relay Therapeutics Inc")</f>
        <v>0</v>
      </c>
      <c r="C1425">
        <v>-0.243709065839365</v>
      </c>
      <c r="D1425">
        <v>-0.016584491259524</v>
      </c>
      <c r="E1425">
        <v>-0.32802450229709</v>
      </c>
      <c r="F1425">
        <v>-0.285574731357863</v>
      </c>
      <c r="G1425">
        <v>-0.220880681818181</v>
      </c>
      <c r="H1425">
        <v>-0.479478054567022</v>
      </c>
      <c r="I1425">
        <v>-0.3740370898716111</v>
      </c>
    </row>
    <row r="1426" spans="1:9">
      <c r="A1426" s="1" t="s">
        <v>1438</v>
      </c>
      <c r="B1426">
        <f>HYPERLINK("https://www.suredividend.com/sure-analysis-research-database/","Radiant Logistics, Inc.")</f>
        <v>0</v>
      </c>
      <c r="C1426">
        <v>-0.169590643274853</v>
      </c>
      <c r="D1426">
        <v>-0.195467422096317</v>
      </c>
      <c r="E1426">
        <v>-0.04857621440536</v>
      </c>
      <c r="F1426">
        <v>-0.220850480109739</v>
      </c>
      <c r="G1426">
        <v>-0.088282504012841</v>
      </c>
      <c r="H1426">
        <v>0.088122605363984</v>
      </c>
      <c r="I1426">
        <v>0.08604206500956001</v>
      </c>
    </row>
    <row r="1427" spans="1:9">
      <c r="A1427" s="1" t="s">
        <v>1439</v>
      </c>
      <c r="B1427">
        <f>HYPERLINK("https://www.suredividend.com/sure-analysis-RLI/","RLI Corp.")</f>
        <v>0</v>
      </c>
      <c r="C1427">
        <v>-0.07166902905740601</v>
      </c>
      <c r="D1427">
        <v>-0.09234535051112401</v>
      </c>
      <c r="E1427">
        <v>-0.04542063345300101</v>
      </c>
      <c r="F1427">
        <v>-0.05863519620974601</v>
      </c>
      <c r="G1427">
        <v>0.040504096879381</v>
      </c>
      <c r="H1427">
        <v>0.262811590535239</v>
      </c>
      <c r="I1427">
        <v>1.00150126920278</v>
      </c>
    </row>
    <row r="1428" spans="1:9">
      <c r="A1428" s="1" t="s">
        <v>1440</v>
      </c>
      <c r="B1428">
        <f>HYPERLINK("https://www.suredividend.com/sure-analysis-RLJ/","RLJ Lodging Trust")</f>
        <v>0</v>
      </c>
      <c r="C1428">
        <v>-0.171604302183293</v>
      </c>
      <c r="D1428">
        <v>-0.078576225654802</v>
      </c>
      <c r="E1428">
        <v>-0.172190758141331</v>
      </c>
      <c r="F1428">
        <v>-0.256653278238506</v>
      </c>
      <c r="G1428">
        <v>-0.300789584550779</v>
      </c>
      <c r="H1428">
        <v>0.157024793388429</v>
      </c>
      <c r="I1428">
        <v>-0.441416597906805</v>
      </c>
    </row>
    <row r="1429" spans="1:9">
      <c r="A1429" s="1" t="s">
        <v>1441</v>
      </c>
      <c r="B1429">
        <f>HYPERLINK("https://www.suredividend.com/sure-analysis-research-database/","Relmada Therapeutics Inc")</f>
        <v>0</v>
      </c>
      <c r="C1429">
        <v>0.061147695202257</v>
      </c>
      <c r="D1429">
        <v>0.789529349550502</v>
      </c>
      <c r="E1429">
        <v>0.275537127779871</v>
      </c>
      <c r="F1429">
        <v>0.501997336884154</v>
      </c>
      <c r="G1429">
        <v>0.293083683607183</v>
      </c>
      <c r="H1429">
        <v>-0.133196721311475</v>
      </c>
      <c r="I1429">
        <v>16.81052631578948</v>
      </c>
    </row>
    <row r="1430" spans="1:9">
      <c r="A1430" s="1" t="s">
        <v>1442</v>
      </c>
      <c r="B1430">
        <f>HYPERLINK("https://www.suredividend.com/sure-analysis-research-database/","Rallybio Corp")</f>
        <v>0</v>
      </c>
      <c r="C1430">
        <v>-0.163446054750402</v>
      </c>
      <c r="D1430">
        <v>0.164798206278026</v>
      </c>
      <c r="E1430">
        <v>0.276412776412776</v>
      </c>
      <c r="F1430">
        <v>0.08909853249475901</v>
      </c>
      <c r="G1430">
        <v>-0.413987591652566</v>
      </c>
      <c r="H1430">
        <v>-0.263120567375886</v>
      </c>
      <c r="I1430">
        <v>-0.263120567375886</v>
      </c>
    </row>
    <row r="1431" spans="1:9">
      <c r="A1431" s="1" t="s">
        <v>1443</v>
      </c>
      <c r="B1431">
        <f>HYPERLINK("https://www.suredividend.com/sure-analysis-research-database/","Regional Management Corp")</f>
        <v>0</v>
      </c>
      <c r="C1431">
        <v>-0.176985981308411</v>
      </c>
      <c r="D1431">
        <v>-0.250930356193514</v>
      </c>
      <c r="E1431">
        <v>-0.392292596666019</v>
      </c>
      <c r="F1431">
        <v>-0.502390925079638</v>
      </c>
      <c r="G1431">
        <v>-0.49164130585767</v>
      </c>
      <c r="H1431">
        <v>0.436904689061575</v>
      </c>
      <c r="I1431">
        <v>0.182686940500522</v>
      </c>
    </row>
    <row r="1432" spans="1:9">
      <c r="A1432" s="1" t="s">
        <v>1444</v>
      </c>
      <c r="B1432">
        <f>HYPERLINK("https://www.suredividend.com/sure-analysis-research-database/","RE/MAX Holdings Inc")</f>
        <v>0</v>
      </c>
      <c r="C1432">
        <v>-0.19341929746554</v>
      </c>
      <c r="D1432">
        <v>-0.260123339968022</v>
      </c>
      <c r="E1432">
        <v>-0.30003549985337</v>
      </c>
      <c r="F1432">
        <v>-0.38945377316895</v>
      </c>
      <c r="G1432">
        <v>-0.411720830076826</v>
      </c>
      <c r="H1432">
        <v>-0.466497263372125</v>
      </c>
      <c r="I1432">
        <v>-0.686435301784414</v>
      </c>
    </row>
    <row r="1433" spans="1:9">
      <c r="A1433" s="1" t="s">
        <v>1445</v>
      </c>
      <c r="B1433">
        <f>HYPERLINK("https://www.suredividend.com/sure-analysis-research-database/","Rambus Inc.")</f>
        <v>0</v>
      </c>
      <c r="C1433">
        <v>0.038762725137039</v>
      </c>
      <c r="D1433">
        <v>0.238562091503268</v>
      </c>
      <c r="E1433">
        <v>0.010666666666666</v>
      </c>
      <c r="F1433">
        <v>-0.09731201088805701</v>
      </c>
      <c r="G1433">
        <v>0.190219829519964</v>
      </c>
      <c r="H1433">
        <v>0.8359861591695501</v>
      </c>
      <c r="I1433">
        <v>0.9294545454545451</v>
      </c>
    </row>
    <row r="1434" spans="1:9">
      <c r="A1434" s="1" t="s">
        <v>1446</v>
      </c>
      <c r="B1434">
        <f>HYPERLINK("https://www.suredividend.com/sure-analysis-research-database/","Rimini Street Inc.")</f>
        <v>0</v>
      </c>
      <c r="C1434">
        <v>-0.068825910931174</v>
      </c>
      <c r="D1434">
        <v>-0.295558958652373</v>
      </c>
      <c r="E1434">
        <v>-0.245901639344262</v>
      </c>
      <c r="F1434">
        <v>-0.229480737018425</v>
      </c>
      <c r="G1434">
        <v>-0.578754578754578</v>
      </c>
      <c r="H1434">
        <v>0.373134328358208</v>
      </c>
      <c r="I1434">
        <v>-0.5329949238578681</v>
      </c>
    </row>
    <row r="1435" spans="1:9">
      <c r="A1435" s="1" t="s">
        <v>1447</v>
      </c>
      <c r="B1435">
        <f>HYPERLINK("https://www.suredividend.com/sure-analysis-research-database/","Romeo Power Inc")</f>
        <v>0</v>
      </c>
      <c r="C1435">
        <v>-0.455079365079365</v>
      </c>
      <c r="D1435">
        <v>-0.372165325530358</v>
      </c>
      <c r="E1435">
        <v>-0.7547857142857141</v>
      </c>
      <c r="F1435">
        <v>-0.9059452054794521</v>
      </c>
      <c r="G1435">
        <v>-0.9260129310344821</v>
      </c>
      <c r="H1435">
        <v>-0.967428842504743</v>
      </c>
      <c r="I1435">
        <v>-0.9647897435897431</v>
      </c>
    </row>
    <row r="1436" spans="1:9">
      <c r="A1436" s="1" t="s">
        <v>1448</v>
      </c>
      <c r="B1436">
        <f>HYPERLINK("https://www.suredividend.com/sure-analysis-research-database/","RMR Group Inc (The)")</f>
        <v>0</v>
      </c>
      <c r="C1436">
        <v>-0.07835678965386</v>
      </c>
      <c r="D1436">
        <v>-0.120795384447911</v>
      </c>
      <c r="E1436">
        <v>-0.1566013435901</v>
      </c>
      <c r="F1436">
        <v>-0.273254070137131</v>
      </c>
      <c r="G1436">
        <v>-0.236114176182399</v>
      </c>
      <c r="H1436">
        <v>0.038568036279157</v>
      </c>
      <c r="I1436">
        <v>-0.363393692264038</v>
      </c>
    </row>
    <row r="1437" spans="1:9">
      <c r="A1437" s="1" t="s">
        <v>1449</v>
      </c>
      <c r="B1437">
        <f>HYPERLINK("https://www.suredividend.com/sure-analysis-research-database/","Avidity Biosciences Inc")</f>
        <v>0</v>
      </c>
      <c r="C1437">
        <v>-0.231432678485864</v>
      </c>
      <c r="D1437">
        <v>-0.060339777387229</v>
      </c>
      <c r="E1437">
        <v>-0.187436676798378</v>
      </c>
      <c r="F1437">
        <v>-0.325199831720656</v>
      </c>
      <c r="G1437">
        <v>-0.300479720889664</v>
      </c>
      <c r="H1437">
        <v>-0.420310805926996</v>
      </c>
      <c r="I1437">
        <v>-0.43719298245614</v>
      </c>
    </row>
    <row r="1438" spans="1:9">
      <c r="A1438" s="1" t="s">
        <v>1450</v>
      </c>
      <c r="B1438">
        <f>HYPERLINK("https://www.suredividend.com/sure-analysis-research-database/","Renasant Corp.")</f>
        <v>0</v>
      </c>
      <c r="C1438">
        <v>-0.012564626668269</v>
      </c>
      <c r="D1438">
        <v>0.119849459506448</v>
      </c>
      <c r="E1438">
        <v>0.046941877993823</v>
      </c>
      <c r="F1438">
        <v>-0.116410555733379</v>
      </c>
      <c r="G1438">
        <v>-0.109830881416466</v>
      </c>
      <c r="H1438">
        <v>0.293240897119438</v>
      </c>
      <c r="I1438">
        <v>-0.136349056951009</v>
      </c>
    </row>
    <row r="1439" spans="1:9">
      <c r="A1439" s="1" t="s">
        <v>1451</v>
      </c>
      <c r="B1439">
        <f>HYPERLINK("https://www.suredividend.com/sure-analysis-research-database/","Construction Partners Inc")</f>
        <v>0</v>
      </c>
      <c r="C1439">
        <v>-0.114662273476112</v>
      </c>
      <c r="D1439">
        <v>0.304368932038834</v>
      </c>
      <c r="E1439">
        <v>0.037451737451737</v>
      </c>
      <c r="F1439">
        <v>-0.08636518191091401</v>
      </c>
      <c r="G1439">
        <v>-0.204323363932484</v>
      </c>
      <c r="H1439">
        <v>0.349573078854846</v>
      </c>
      <c r="I1439">
        <v>1.220661157024793</v>
      </c>
    </row>
    <row r="1440" spans="1:9">
      <c r="A1440" s="1" t="s">
        <v>1452</v>
      </c>
      <c r="B1440">
        <f>HYPERLINK("https://www.suredividend.com/sure-analysis-research-database/","Ranger Oil Corp")</f>
        <v>0</v>
      </c>
      <c r="C1440">
        <v>-0.058270185523909</v>
      </c>
      <c r="D1440">
        <v>0.143411897955881</v>
      </c>
      <c r="E1440">
        <v>0.024690375189073</v>
      </c>
      <c r="F1440">
        <v>0.34176715648862</v>
      </c>
      <c r="G1440">
        <v>0.175407756256176</v>
      </c>
      <c r="H1440">
        <v>0.175407756256176</v>
      </c>
      <c r="I1440">
        <v>0.175407756256176</v>
      </c>
    </row>
    <row r="1441" spans="1:9">
      <c r="A1441" s="1" t="s">
        <v>1453</v>
      </c>
      <c r="B1441">
        <f>HYPERLINK("https://www.suredividend.com/sure-analysis-research-database/","Gibraltar Industries Inc.")</f>
        <v>0</v>
      </c>
      <c r="C1441">
        <v>0.094897472579876</v>
      </c>
      <c r="D1441">
        <v>0.160181910055583</v>
      </c>
      <c r="E1441">
        <v>0.172325759509828</v>
      </c>
      <c r="F1441">
        <v>-0.311337732453509</v>
      </c>
      <c r="G1441">
        <v>-0.3654829349177831</v>
      </c>
      <c r="H1441">
        <v>-0.368363136176066</v>
      </c>
      <c r="I1441">
        <v>0.441758241758241</v>
      </c>
    </row>
    <row r="1442" spans="1:9">
      <c r="A1442" s="1" t="s">
        <v>1454</v>
      </c>
      <c r="B1442">
        <f>HYPERLINK("https://www.suredividend.com/sure-analysis-research-database/","Rogers Corp.")</f>
        <v>0</v>
      </c>
      <c r="C1442">
        <v>-0.075963317196048</v>
      </c>
      <c r="D1442">
        <v>-0.106250951728338</v>
      </c>
      <c r="E1442">
        <v>-0.137984211492564</v>
      </c>
      <c r="F1442">
        <v>-0.14003663003663</v>
      </c>
      <c r="G1442">
        <v>0.265538245916662</v>
      </c>
      <c r="H1442">
        <v>1.128081943437273</v>
      </c>
      <c r="I1442">
        <v>0.714650891031259</v>
      </c>
    </row>
    <row r="1443" spans="1:9">
      <c r="A1443" s="1" t="s">
        <v>1455</v>
      </c>
      <c r="B1443">
        <f>HYPERLINK("https://www.suredividend.com/sure-analysis-research-database/","Retail Opportunity Investments Corp")</f>
        <v>0</v>
      </c>
      <c r="C1443">
        <v>-0.202233745512564</v>
      </c>
      <c r="D1443">
        <v>-0.12717564306618</v>
      </c>
      <c r="E1443">
        <v>-0.277072569156513</v>
      </c>
      <c r="F1443">
        <v>-0.288777324547641</v>
      </c>
      <c r="G1443">
        <v>-0.21902814944126</v>
      </c>
      <c r="H1443">
        <v>0.313146917966939</v>
      </c>
      <c r="I1443">
        <v>-0.160162039324177</v>
      </c>
    </row>
    <row r="1444" spans="1:9">
      <c r="A1444" s="1" t="s">
        <v>1456</v>
      </c>
      <c r="B1444">
        <f>HYPERLINK("https://www.suredividend.com/sure-analysis-research-database/","RBC Bearings Inc.")</f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>
      <c r="A1445" s="1" t="s">
        <v>1457</v>
      </c>
      <c r="B1445">
        <f>HYPERLINK("https://www.suredividend.com/sure-analysis-research-database/","Repay Holdings Corporation")</f>
        <v>0</v>
      </c>
      <c r="C1445">
        <v>-0.303062302006335</v>
      </c>
      <c r="D1445">
        <v>-0.505617977528089</v>
      </c>
      <c r="E1445">
        <v>-0.5278969957081541</v>
      </c>
      <c r="F1445">
        <v>-0.6387520525451561</v>
      </c>
      <c r="G1445">
        <v>-0.7075764288879041</v>
      </c>
      <c r="H1445">
        <v>-0.7372611464968151</v>
      </c>
      <c r="I1445">
        <v>-0.316062176165803</v>
      </c>
    </row>
    <row r="1446" spans="1:9">
      <c r="A1446" s="1" t="s">
        <v>1458</v>
      </c>
      <c r="B1446">
        <f>HYPERLINK("https://www.suredividend.com/sure-analysis-research-database/","Rapid7 Inc")</f>
        <v>0</v>
      </c>
      <c r="C1446">
        <v>-0.309503202354163</v>
      </c>
      <c r="D1446">
        <v>-0.460581473968897</v>
      </c>
      <c r="E1446">
        <v>-0.6204205918736321</v>
      </c>
      <c r="F1446">
        <v>-0.661058713569547</v>
      </c>
      <c r="G1446">
        <v>-0.6565943526170791</v>
      </c>
      <c r="H1446">
        <v>-0.393031040779062</v>
      </c>
      <c r="I1446">
        <v>1.205085682697622</v>
      </c>
    </row>
    <row r="1447" spans="1:9">
      <c r="A1447" s="1" t="s">
        <v>1459</v>
      </c>
      <c r="B1447">
        <f>HYPERLINK("https://www.suredividend.com/sure-analysis-research-database/","Reneo Pharmaceuticals Inc")</f>
        <v>0</v>
      </c>
      <c r="C1447">
        <v>-0.196428571428571</v>
      </c>
      <c r="D1447">
        <v>0.026058631921824</v>
      </c>
      <c r="E1447">
        <v>0.08996539792387501</v>
      </c>
      <c r="F1447">
        <v>-0.631578947368421</v>
      </c>
      <c r="G1447">
        <v>-0.5190839694656481</v>
      </c>
      <c r="H1447">
        <v>-0.7732181425485961</v>
      </c>
      <c r="I1447">
        <v>-0.7732181425485961</v>
      </c>
    </row>
    <row r="1448" spans="1:9">
      <c r="A1448" s="1" t="s">
        <v>1460</v>
      </c>
      <c r="B1448">
        <f>HYPERLINK("https://www.suredividend.com/sure-analysis-research-database/","Rapid Micro Biosystems Inc")</f>
        <v>0</v>
      </c>
      <c r="C1448">
        <v>-0.08011049723756901</v>
      </c>
      <c r="D1448">
        <v>-0.26</v>
      </c>
      <c r="E1448">
        <v>-0.441275167785234</v>
      </c>
      <c r="F1448">
        <v>-0.6870300751879691</v>
      </c>
      <c r="G1448">
        <v>-0.8195121951219511</v>
      </c>
      <c r="H1448">
        <v>-0.8443925233644861</v>
      </c>
      <c r="I1448">
        <v>-0.8443925233644861</v>
      </c>
    </row>
    <row r="1449" spans="1:9">
      <c r="A1449" s="1" t="s">
        <v>1461</v>
      </c>
      <c r="B1449">
        <f>HYPERLINK("https://www.suredividend.com/sure-analysis-RPT/","RPT Realty")</f>
        <v>0</v>
      </c>
      <c r="C1449">
        <v>-0.14769166492584</v>
      </c>
      <c r="D1449">
        <v>-0.157233743699909</v>
      </c>
      <c r="E1449">
        <v>-0.368010161405248</v>
      </c>
      <c r="F1449">
        <v>-0.367005143083212</v>
      </c>
      <c r="G1449">
        <v>-0.366179132069316</v>
      </c>
      <c r="H1449">
        <v>0.5673619914717071</v>
      </c>
      <c r="I1449">
        <v>-0.204081035474966</v>
      </c>
    </row>
    <row r="1450" spans="1:9">
      <c r="A1450" s="1" t="s">
        <v>1462</v>
      </c>
      <c r="B1450">
        <f>HYPERLINK("https://www.suredividend.com/sure-analysis-research-database/","Red River Bancshares Inc")</f>
        <v>0</v>
      </c>
      <c r="C1450">
        <v>-0.012948793407886</v>
      </c>
      <c r="D1450">
        <v>-0.045848940306291</v>
      </c>
      <c r="E1450">
        <v>-0.04369611167713301</v>
      </c>
      <c r="F1450">
        <v>-0.05575919325687</v>
      </c>
      <c r="G1450">
        <v>-0.013593238084594</v>
      </c>
      <c r="H1450">
        <v>0.105240611166642</v>
      </c>
      <c r="I1450">
        <v>0.016137827957423</v>
      </c>
    </row>
    <row r="1451" spans="1:9">
      <c r="A1451" s="1" t="s">
        <v>1463</v>
      </c>
      <c r="B1451">
        <f>HYPERLINK("https://www.suredividend.com/sure-analysis-research-database/","Range Resources Corp")</f>
        <v>0</v>
      </c>
      <c r="C1451">
        <v>-0.131510848863552</v>
      </c>
      <c r="D1451">
        <v>0.05459226997562101</v>
      </c>
      <c r="E1451">
        <v>-0.171205304286052</v>
      </c>
      <c r="F1451">
        <v>0.5153474615821461</v>
      </c>
      <c r="G1451">
        <v>0.155630644151522</v>
      </c>
      <c r="H1451">
        <v>2.352198519808445</v>
      </c>
      <c r="I1451">
        <v>0.406554177126663</v>
      </c>
    </row>
    <row r="1452" spans="1:9">
      <c r="A1452" s="1" t="s">
        <v>1464</v>
      </c>
      <c r="B1452">
        <f>HYPERLINK("https://www.suredividend.com/sure-analysis-research-database/","Red Robin Gourmet Burgers Inc")</f>
        <v>0</v>
      </c>
      <c r="C1452">
        <v>-0.08020050125313201</v>
      </c>
      <c r="D1452">
        <v>-0.100490196078431</v>
      </c>
      <c r="E1452">
        <v>-0.478693181818181</v>
      </c>
      <c r="F1452">
        <v>-0.555958862673926</v>
      </c>
      <c r="G1452">
        <v>-0.6649931538110451</v>
      </c>
      <c r="H1452">
        <v>-0.482369534555712</v>
      </c>
      <c r="I1452">
        <v>-0.8881949733434881</v>
      </c>
    </row>
    <row r="1453" spans="1:9">
      <c r="A1453" s="1" t="s">
        <v>1465</v>
      </c>
      <c r="B1453">
        <f>HYPERLINK("https://www.suredividend.com/sure-analysis-research-database/","Red Rock Resorts Inc")</f>
        <v>0</v>
      </c>
      <c r="C1453">
        <v>-0.091491799667878</v>
      </c>
      <c r="D1453">
        <v>0.122729538705267</v>
      </c>
      <c r="E1453">
        <v>-0.137467193913633</v>
      </c>
      <c r="F1453">
        <v>-0.319493336744208</v>
      </c>
      <c r="G1453">
        <v>-0.26084767945233</v>
      </c>
      <c r="H1453">
        <v>1.254941706900576</v>
      </c>
      <c r="I1453">
        <v>0.752417868838372</v>
      </c>
    </row>
    <row r="1454" spans="1:9">
      <c r="A1454" s="1" t="s">
        <v>1466</v>
      </c>
      <c r="B1454">
        <f>HYPERLINK("https://www.suredividend.com/sure-analysis-research-database/","Rush Street Interactive Inc")</f>
        <v>0</v>
      </c>
      <c r="C1454">
        <v>-0.332710280373831</v>
      </c>
      <c r="D1454">
        <v>-0.352087114337568</v>
      </c>
      <c r="E1454">
        <v>-0.495762711864406</v>
      </c>
      <c r="F1454">
        <v>-0.783636363636363</v>
      </c>
      <c r="G1454">
        <v>-0.829186602870813</v>
      </c>
      <c r="H1454">
        <v>-0.7000000000000001</v>
      </c>
      <c r="I1454">
        <v>-0.628898128898128</v>
      </c>
    </row>
    <row r="1455" spans="1:9">
      <c r="A1455" s="1" t="s">
        <v>1467</v>
      </c>
      <c r="B1455">
        <f>HYPERLINK("https://www.suredividend.com/sure-analysis-research-database/","Rubius Therapeutics Inc")</f>
        <v>0</v>
      </c>
      <c r="C1455">
        <v>-0.640178571428571</v>
      </c>
      <c r="D1455">
        <v>-0.559129198118367</v>
      </c>
      <c r="E1455">
        <v>-0.8736677115987461</v>
      </c>
      <c r="F1455">
        <v>-0.958367768595041</v>
      </c>
      <c r="G1455">
        <v>-0.974749373433584</v>
      </c>
      <c r="H1455">
        <v>-0.9260550458715591</v>
      </c>
      <c r="I1455">
        <v>-0.983381443298969</v>
      </c>
    </row>
    <row r="1456" spans="1:9">
      <c r="A1456" s="1" t="s">
        <v>1468</v>
      </c>
      <c r="B1456">
        <f>HYPERLINK("https://www.suredividend.com/sure-analysis-research-database/","Rush Enterprises Inc")</f>
        <v>0</v>
      </c>
      <c r="C1456">
        <v>-0.05398722439728</v>
      </c>
      <c r="D1456">
        <v>-0.061728495986135</v>
      </c>
      <c r="E1456">
        <v>-0.020089133255925</v>
      </c>
      <c r="F1456">
        <v>-0.165016159510831</v>
      </c>
      <c r="G1456">
        <v>-0.003756257717037</v>
      </c>
      <c r="H1456">
        <v>0.273222937425987</v>
      </c>
      <c r="I1456">
        <v>0.586122550509935</v>
      </c>
    </row>
    <row r="1457" spans="1:9">
      <c r="A1457" s="1" t="s">
        <v>1469</v>
      </c>
      <c r="B1457">
        <f>HYPERLINK("https://www.suredividend.com/sure-analysis-research-database/","Rush Enterprises Inc")</f>
        <v>0</v>
      </c>
      <c r="C1457">
        <v>-0.065921576056071</v>
      </c>
      <c r="D1457">
        <v>-0.073633981157065</v>
      </c>
      <c r="E1457">
        <v>0.115875943380214</v>
      </c>
      <c r="F1457">
        <v>-0.07554439017988501</v>
      </c>
      <c r="G1457">
        <v>0.069642837774813</v>
      </c>
      <c r="H1457">
        <v>0.536232787089538</v>
      </c>
      <c r="I1457">
        <v>1.68918653607033</v>
      </c>
    </row>
    <row r="1458" spans="1:9">
      <c r="A1458" s="1" t="s">
        <v>1470</v>
      </c>
      <c r="B1458">
        <f>HYPERLINK("https://www.suredividend.com/sure-analysis-research-database/","Ruths Hospitality Group Inc")</f>
        <v>0</v>
      </c>
      <c r="C1458">
        <v>-0.07825148407987001</v>
      </c>
      <c r="D1458">
        <v>0.066640021482679</v>
      </c>
      <c r="E1458">
        <v>-0.163884510324166</v>
      </c>
      <c r="F1458">
        <v>-0.123832974248486</v>
      </c>
      <c r="G1458">
        <v>-0.09141686836715701</v>
      </c>
      <c r="H1458">
        <v>0.537547485731775</v>
      </c>
      <c r="I1458">
        <v>-0.14441717176777</v>
      </c>
    </row>
    <row r="1459" spans="1:9">
      <c r="A1459" s="1" t="s">
        <v>1471</v>
      </c>
      <c r="B1459">
        <f>HYPERLINK("https://www.suredividend.com/sure-analysis-research-database/","Revolve Group Inc")</f>
        <v>0</v>
      </c>
      <c r="C1459">
        <v>-0.181481481481481</v>
      </c>
      <c r="D1459">
        <v>-0.238980716253443</v>
      </c>
      <c r="E1459">
        <v>-0.580246913580246</v>
      </c>
      <c r="F1459">
        <v>-0.6056388294075661</v>
      </c>
      <c r="G1459">
        <v>-0.679477882523567</v>
      </c>
      <c r="H1459">
        <v>0.267201834862385</v>
      </c>
      <c r="I1459">
        <v>-0.35</v>
      </c>
    </row>
    <row r="1460" spans="1:9">
      <c r="A1460" s="1" t="s">
        <v>1472</v>
      </c>
      <c r="B1460">
        <f>HYPERLINK("https://www.suredividend.com/sure-analysis-research-database/","Revolution Medicines Inc")</f>
        <v>0</v>
      </c>
      <c r="C1460">
        <v>-0.158186864014801</v>
      </c>
      <c r="D1460">
        <v>-0.222554463904314</v>
      </c>
      <c r="E1460">
        <v>-0.256535947712418</v>
      </c>
      <c r="F1460">
        <v>-0.276916964640445</v>
      </c>
      <c r="G1460">
        <v>-0.344852411807055</v>
      </c>
      <c r="H1460">
        <v>-0.5434019066733561</v>
      </c>
      <c r="I1460">
        <v>-0.370242214532872</v>
      </c>
    </row>
    <row r="1461" spans="1:9">
      <c r="A1461" s="1" t="s">
        <v>1473</v>
      </c>
      <c r="B1461">
        <f>HYPERLINK("https://www.suredividend.com/sure-analysis-research-database/","Revance Therapeutics Inc")</f>
        <v>0</v>
      </c>
      <c r="C1461">
        <v>0.014752370916754</v>
      </c>
      <c r="D1461">
        <v>0.8820846905537461</v>
      </c>
      <c r="E1461">
        <v>0.4937952430196481</v>
      </c>
      <c r="F1461">
        <v>0.770220588235294</v>
      </c>
      <c r="G1461">
        <v>0.07677972418934001</v>
      </c>
      <c r="H1461">
        <v>0.046360014487504</v>
      </c>
      <c r="I1461">
        <v>0.07000000000000001</v>
      </c>
    </row>
    <row r="1462" spans="1:9">
      <c r="A1462" s="1" t="s">
        <v>1474</v>
      </c>
      <c r="B1462">
        <f>HYPERLINK("https://www.suredividend.com/sure-analysis-research-database/","Retractable Technologies Inc")</f>
        <v>0</v>
      </c>
      <c r="C1462">
        <v>-0.121076233183856</v>
      </c>
      <c r="D1462">
        <v>-0.555555555555555</v>
      </c>
      <c r="E1462">
        <v>-0.5615212527964201</v>
      </c>
      <c r="F1462">
        <v>-0.717171717171717</v>
      </c>
      <c r="G1462">
        <v>-0.7977296181630541</v>
      </c>
      <c r="H1462">
        <v>-0.7720930232558141</v>
      </c>
      <c r="I1462">
        <v>2.286384976525821</v>
      </c>
    </row>
    <row r="1463" spans="1:9">
      <c r="A1463" s="1" t="s">
        <v>1475</v>
      </c>
      <c r="B1463">
        <f>HYPERLINK("https://www.suredividend.com/sure-analysis-research-database/","Redwood Trust Inc.")</f>
        <v>0</v>
      </c>
      <c r="C1463">
        <v>-0.213849745450454</v>
      </c>
      <c r="D1463">
        <v>-0.2786259049438</v>
      </c>
      <c r="E1463">
        <v>-0.383070301291248</v>
      </c>
      <c r="F1463">
        <v>-0.5379172384148661</v>
      </c>
      <c r="G1463">
        <v>-0.537251655629139</v>
      </c>
      <c r="H1463">
        <v>-0.166679089459012</v>
      </c>
      <c r="I1463">
        <v>-0.499077011308851</v>
      </c>
    </row>
    <row r="1464" spans="1:9">
      <c r="A1464" s="1" t="s">
        <v>1476</v>
      </c>
      <c r="B1464">
        <f>HYPERLINK("https://www.suredividend.com/sure-analysis-research-database/","Prometheus Biosciences Inc")</f>
        <v>0</v>
      </c>
      <c r="C1464">
        <v>-0.038050371444102</v>
      </c>
      <c r="D1464">
        <v>0.7310074991848711</v>
      </c>
      <c r="E1464">
        <v>0.4168668267947691</v>
      </c>
      <c r="F1464">
        <v>0.342690945877592</v>
      </c>
      <c r="G1464">
        <v>1.118515562649641</v>
      </c>
      <c r="H1464">
        <v>1.099248714907078</v>
      </c>
      <c r="I1464">
        <v>1.099248714907078</v>
      </c>
    </row>
    <row r="1465" spans="1:9">
      <c r="A1465" s="1" t="s">
        <v>1477</v>
      </c>
      <c r="B1465">
        <f>HYPERLINK("https://www.suredividend.com/sure-analysis-research-database/","Recursion Pharmaceuticals Inc")</f>
        <v>0</v>
      </c>
      <c r="C1465">
        <v>-0.178598342125094</v>
      </c>
      <c r="D1465">
        <v>0.216517857142856</v>
      </c>
      <c r="E1465">
        <v>0.6390977443609021</v>
      </c>
      <c r="F1465">
        <v>-0.363689433741972</v>
      </c>
      <c r="G1465">
        <v>-0.416488222698072</v>
      </c>
      <c r="H1465">
        <v>-0.651757188498402</v>
      </c>
      <c r="I1465">
        <v>-0.651757188498402</v>
      </c>
    </row>
    <row r="1466" spans="1:9">
      <c r="A1466" s="1" t="s">
        <v>1478</v>
      </c>
      <c r="B1466">
        <f>HYPERLINK("https://www.suredividend.com/sure-analysis-research-database/","RxSight Inc")</f>
        <v>0</v>
      </c>
      <c r="C1466">
        <v>-0.29723991507431</v>
      </c>
      <c r="D1466">
        <v>-0.3509803921568621</v>
      </c>
      <c r="E1466">
        <v>-0.25</v>
      </c>
      <c r="F1466">
        <v>-0.117333333333333</v>
      </c>
      <c r="G1466">
        <v>-0.213153724247226</v>
      </c>
      <c r="H1466">
        <v>-0.379375</v>
      </c>
      <c r="I1466">
        <v>-0.379375</v>
      </c>
    </row>
    <row r="1467" spans="1:9">
      <c r="A1467" s="1" t="s">
        <v>1479</v>
      </c>
      <c r="B1467">
        <f>HYPERLINK("https://www.suredividend.com/sure-analysis-research-database/","Rackspace Technology Inc")</f>
        <v>0</v>
      </c>
      <c r="C1467">
        <v>-0.214285714285714</v>
      </c>
      <c r="D1467">
        <v>-0.412921348314606</v>
      </c>
      <c r="E1467">
        <v>-0.5600000000000001</v>
      </c>
      <c r="F1467">
        <v>-0.689680772086117</v>
      </c>
      <c r="G1467">
        <v>-0.721333333333333</v>
      </c>
      <c r="H1467">
        <v>-0.7702034084661901</v>
      </c>
      <c r="I1467">
        <v>-0.7449664429530201</v>
      </c>
    </row>
    <row r="1468" spans="1:9">
      <c r="A1468" s="1" t="s">
        <v>1480</v>
      </c>
      <c r="B1468">
        <f>HYPERLINK("https://www.suredividend.com/sure-analysis-research-database/","Rayonier Advanced Materials Inc")</f>
        <v>0</v>
      </c>
      <c r="C1468">
        <v>-0.343347639484978</v>
      </c>
      <c r="D1468">
        <v>0.077464788732394</v>
      </c>
      <c r="E1468">
        <v>-0.494214876033057</v>
      </c>
      <c r="F1468">
        <v>-0.464098073555166</v>
      </c>
      <c r="G1468">
        <v>-0.600522193211488</v>
      </c>
      <c r="H1468">
        <v>-0.246305418719211</v>
      </c>
      <c r="I1468">
        <v>-0.7764955079979541</v>
      </c>
    </row>
    <row r="1469" spans="1:9">
      <c r="A1469" s="1" t="s">
        <v>1481</v>
      </c>
      <c r="B1469">
        <f>HYPERLINK("https://www.suredividend.com/sure-analysis-research-database/","Ryerson Holding Corp.")</f>
        <v>0</v>
      </c>
      <c r="C1469">
        <v>-0.026890756302521</v>
      </c>
      <c r="D1469">
        <v>0.426480805333412</v>
      </c>
      <c r="E1469">
        <v>-0.116111501236528</v>
      </c>
      <c r="F1469">
        <v>0.126042902429063</v>
      </c>
      <c r="G1469">
        <v>0.365894625593892</v>
      </c>
      <c r="H1469">
        <v>2.905196136621162</v>
      </c>
      <c r="I1469">
        <v>2.107723686329236</v>
      </c>
    </row>
    <row r="1470" spans="1:9">
      <c r="A1470" s="1" t="s">
        <v>1482</v>
      </c>
      <c r="B1470">
        <f>HYPERLINK("https://www.suredividend.com/sure-analysis-research-database/","Rhythm Pharmaceuticals Inc.")</f>
        <v>0</v>
      </c>
      <c r="C1470">
        <v>-0.002575107296137</v>
      </c>
      <c r="D1470">
        <v>3.752556237218813</v>
      </c>
      <c r="E1470">
        <v>1.528835690968443</v>
      </c>
      <c r="F1470">
        <v>1.328657314629258</v>
      </c>
      <c r="G1470">
        <v>1.020869565217391</v>
      </c>
      <c r="H1470">
        <v>-0.05605199025182701</v>
      </c>
      <c r="I1470">
        <v>-0.106497500961168</v>
      </c>
    </row>
    <row r="1471" spans="1:9">
      <c r="A1471" s="1" t="s">
        <v>1483</v>
      </c>
      <c r="B1471">
        <f>HYPERLINK("https://www.suredividend.com/sure-analysis-SAFE/","Safehold Inc")</f>
        <v>0</v>
      </c>
      <c r="C1471">
        <v>-0.388441183698182</v>
      </c>
      <c r="D1471">
        <v>-0.3785877931371791</v>
      </c>
      <c r="E1471">
        <v>-0.530749149069759</v>
      </c>
      <c r="F1471">
        <v>-0.693264785933382</v>
      </c>
      <c r="G1471">
        <v>-0.6583262800026041</v>
      </c>
      <c r="H1471">
        <v>-0.615730533822557</v>
      </c>
      <c r="I1471">
        <v>0.417398656583212</v>
      </c>
    </row>
    <row r="1472" spans="1:9">
      <c r="A1472" s="1" t="s">
        <v>1484</v>
      </c>
      <c r="B1472">
        <f>HYPERLINK("https://www.suredividend.com/sure-analysis-research-database/","Sanderson Farms, Inc.")</f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>
      <c r="A1473" s="1" t="s">
        <v>1485</v>
      </c>
      <c r="B1473">
        <f>HYPERLINK("https://www.suredividend.com/sure-analysis-research-database/","Safety Insurance Group, Inc.")</f>
        <v>0</v>
      </c>
      <c r="C1473">
        <v>-0.117262374563084</v>
      </c>
      <c r="D1473">
        <v>-0.182529158095874</v>
      </c>
      <c r="E1473">
        <v>-0.133336063913282</v>
      </c>
      <c r="F1473">
        <v>-0.06021287756838901</v>
      </c>
      <c r="G1473">
        <v>-0.01071795921565</v>
      </c>
      <c r="H1473">
        <v>0.23714109634499</v>
      </c>
      <c r="I1473">
        <v>0.158043588234076</v>
      </c>
    </row>
    <row r="1474" spans="1:9">
      <c r="A1474" s="1" t="s">
        <v>1486</v>
      </c>
      <c r="B1474">
        <f>HYPERLINK("https://www.suredividend.com/sure-analysis-research-database/","Sonic Automotive, Inc.")</f>
        <v>0</v>
      </c>
      <c r="C1474">
        <v>-0.07471241204782901</v>
      </c>
      <c r="D1474">
        <v>0.195710573348976</v>
      </c>
      <c r="E1474">
        <v>0.07624247777566601</v>
      </c>
      <c r="F1474">
        <v>-0.102703614487572</v>
      </c>
      <c r="G1474">
        <v>-0.179430454755804</v>
      </c>
      <c r="H1474">
        <v>0.081834505610063</v>
      </c>
      <c r="I1474">
        <v>1.17060281252799</v>
      </c>
    </row>
    <row r="1475" spans="1:9">
      <c r="A1475" s="1" t="s">
        <v>1487</v>
      </c>
      <c r="B1475">
        <f>HYPERLINK("https://www.suredividend.com/sure-analysis-research-database/","Saia Inc.")</f>
        <v>0</v>
      </c>
      <c r="C1475">
        <v>-0.000148309274273</v>
      </c>
      <c r="D1475">
        <v>-0.013318372524148</v>
      </c>
      <c r="E1475">
        <v>-0.002121570949279</v>
      </c>
      <c r="F1475">
        <v>-0.3999050529626441</v>
      </c>
      <c r="G1475">
        <v>-0.204960886827312</v>
      </c>
      <c r="H1475">
        <v>0.406662957295868</v>
      </c>
      <c r="I1475">
        <v>2.430873621713316</v>
      </c>
    </row>
    <row r="1476" spans="1:9">
      <c r="A1476" s="1" t="s">
        <v>1488</v>
      </c>
      <c r="B1476">
        <f>HYPERLINK("https://www.suredividend.com/sure-analysis-research-database/","SailPoint Technologies Holdings Inc")</f>
        <v>0</v>
      </c>
      <c r="C1476">
        <v>0.025302530253025</v>
      </c>
      <c r="D1476">
        <v>0.08192371475953501</v>
      </c>
      <c r="E1476">
        <v>0.577369439071566</v>
      </c>
      <c r="F1476">
        <v>0.349606950765411</v>
      </c>
      <c r="G1476">
        <v>0.476352115863317</v>
      </c>
      <c r="H1476">
        <v>0.7878870923540691</v>
      </c>
      <c r="I1476">
        <v>4.018461538461538</v>
      </c>
    </row>
    <row r="1477" spans="1:9">
      <c r="A1477" s="1" t="s">
        <v>1489</v>
      </c>
      <c r="B1477">
        <f>HYPERLINK("https://www.suredividend.com/sure-analysis-research-database/","Sana Biotechnology Inc")</f>
        <v>0</v>
      </c>
      <c r="C1477">
        <v>-0.222535211267605</v>
      </c>
      <c r="D1477">
        <v>-0.374858437146092</v>
      </c>
      <c r="E1477">
        <v>-0.361849710982659</v>
      </c>
      <c r="F1477">
        <v>-0.6434108527131781</v>
      </c>
      <c r="G1477">
        <v>-0.719083969465648</v>
      </c>
      <c r="H1477">
        <v>-0.8427350427350421</v>
      </c>
      <c r="I1477">
        <v>-0.8427350427350421</v>
      </c>
    </row>
    <row r="1478" spans="1:9">
      <c r="A1478" s="1" t="s">
        <v>1490</v>
      </c>
      <c r="B1478">
        <f>HYPERLINK("https://www.suredividend.com/sure-analysis-research-database/","Sanmina Corp")</f>
        <v>0</v>
      </c>
      <c r="C1478">
        <v>0.018069815195071</v>
      </c>
      <c r="D1478">
        <v>0.212224938875305</v>
      </c>
      <c r="E1478">
        <v>0.292155329684649</v>
      </c>
      <c r="F1478">
        <v>0.195851423058369</v>
      </c>
      <c r="G1478">
        <v>0.25487218425715</v>
      </c>
      <c r="H1478">
        <v>0.7853799063737841</v>
      </c>
      <c r="I1478">
        <v>0.289466840052015</v>
      </c>
    </row>
    <row r="1479" spans="1:9">
      <c r="A1479" s="1" t="s">
        <v>1491</v>
      </c>
      <c r="B1479">
        <f>HYPERLINK("https://www.suredividend.com/sure-analysis-research-database/","Sandy Spring Bancorp")</f>
        <v>0</v>
      </c>
      <c r="C1479">
        <v>-0.07668711656441701</v>
      </c>
      <c r="D1479">
        <v>-0.061435442505125</v>
      </c>
      <c r="E1479">
        <v>-0.137653184738466</v>
      </c>
      <c r="F1479">
        <v>-0.230346344145134</v>
      </c>
      <c r="G1479">
        <v>-0.21766703631827</v>
      </c>
      <c r="H1479">
        <v>0.4965817277812301</v>
      </c>
      <c r="I1479">
        <v>-0.007285949468326</v>
      </c>
    </row>
    <row r="1480" spans="1:9">
      <c r="A1480" s="1" t="s">
        <v>1492</v>
      </c>
      <c r="B1480">
        <f>HYPERLINK("https://www.suredividend.com/sure-analysis-research-database/","EchoStar Corp")</f>
        <v>0</v>
      </c>
      <c r="C1480">
        <v>0.009122006841505001</v>
      </c>
      <c r="D1480">
        <v>-0.06743940990516301</v>
      </c>
      <c r="E1480">
        <v>-0.273995077932731</v>
      </c>
      <c r="F1480">
        <v>-0.328273244781783</v>
      </c>
      <c r="G1480">
        <v>-0.307240704500978</v>
      </c>
      <c r="H1480">
        <v>-0.346863468634686</v>
      </c>
      <c r="I1480">
        <v>-0.685668620138518</v>
      </c>
    </row>
    <row r="1481" spans="1:9">
      <c r="A1481" s="1" t="s">
        <v>1493</v>
      </c>
      <c r="B1481">
        <f>HYPERLINK("https://www.suredividend.com/sure-analysis-research-database/","Cassava Sciences Inc")</f>
        <v>0</v>
      </c>
      <c r="C1481">
        <v>0.107317073170731</v>
      </c>
      <c r="D1481">
        <v>0.4958813838550241</v>
      </c>
      <c r="E1481">
        <v>0.340716131413805</v>
      </c>
      <c r="F1481">
        <v>-0.168878718535469</v>
      </c>
      <c r="G1481">
        <v>-0.294620314624198</v>
      </c>
      <c r="H1481">
        <v>2.046979865771812</v>
      </c>
      <c r="I1481">
        <v>6.521225926692898</v>
      </c>
    </row>
    <row r="1482" spans="1:9">
      <c r="A1482" s="1" t="s">
        <v>1494</v>
      </c>
      <c r="B1482">
        <f>HYPERLINK("https://www.suredividend.com/sure-analysis-research-database/","Spirit Airlines Inc")</f>
        <v>0</v>
      </c>
      <c r="C1482">
        <v>-0.190602836879432</v>
      </c>
      <c r="D1482">
        <v>-0.266666666666666</v>
      </c>
      <c r="E1482">
        <v>-0.304380952380952</v>
      </c>
      <c r="F1482">
        <v>-0.164302059496567</v>
      </c>
      <c r="G1482">
        <v>-0.298232129131437</v>
      </c>
      <c r="H1482">
        <v>0.057324840764331</v>
      </c>
      <c r="I1482">
        <v>-0.478285714285714</v>
      </c>
    </row>
    <row r="1483" spans="1:9">
      <c r="A1483" s="1" t="s">
        <v>1495</v>
      </c>
      <c r="B1483">
        <f>HYPERLINK("https://www.suredividend.com/sure-analysis-research-database/","Safe Bulkers, Inc")</f>
        <v>0</v>
      </c>
      <c r="C1483">
        <v>-0.230061349693251</v>
      </c>
      <c r="D1483">
        <v>-0.245044665684122</v>
      </c>
      <c r="E1483">
        <v>-0.370217036758248</v>
      </c>
      <c r="F1483">
        <v>-0.310723602910888</v>
      </c>
      <c r="G1483">
        <v>-0.4707544384936531</v>
      </c>
      <c r="H1483">
        <v>1.406058282208588</v>
      </c>
      <c r="I1483">
        <v>-0.125039216369784</v>
      </c>
    </row>
    <row r="1484" spans="1:9">
      <c r="A1484" s="1" t="s">
        <v>1496</v>
      </c>
      <c r="B1484">
        <f>HYPERLINK("https://www.suredividend.com/sure-analysis-research-database/","Seacoast Banking Corp. Of Florida")</f>
        <v>0</v>
      </c>
      <c r="C1484">
        <v>-0.026758617208548</v>
      </c>
      <c r="D1484">
        <v>-0.07106293285155001</v>
      </c>
      <c r="E1484">
        <v>-0.064334934730916</v>
      </c>
      <c r="F1484">
        <v>-0.115506025167222</v>
      </c>
      <c r="G1484">
        <v>-0.136693466014825</v>
      </c>
      <c r="H1484">
        <v>0.562492086243485</v>
      </c>
      <c r="I1484">
        <v>0.295369421723576</v>
      </c>
    </row>
    <row r="1485" spans="1:9">
      <c r="A1485" s="1" t="s">
        <v>1497</v>
      </c>
      <c r="B1485">
        <f>HYPERLINK("https://www.suredividend.com/sure-analysis-research-database/","Sinclair Broadcast Group, Inc.")</f>
        <v>0</v>
      </c>
      <c r="C1485">
        <v>-0.155087404751232</v>
      </c>
      <c r="D1485">
        <v>-0.094067947306954</v>
      </c>
      <c r="E1485">
        <v>-0.215926059955659</v>
      </c>
      <c r="F1485">
        <v>-0.272619226776873</v>
      </c>
      <c r="G1485">
        <v>-0.335942591620546</v>
      </c>
      <c r="H1485">
        <v>0.04858538322040801</v>
      </c>
      <c r="I1485">
        <v>-0.31013786263509</v>
      </c>
    </row>
    <row r="1486" spans="1:9">
      <c r="A1486" s="1" t="s">
        <v>1498</v>
      </c>
      <c r="B1486">
        <f>HYPERLINK("https://www.suredividend.com/sure-analysis-research-database/","Sally Beauty Holdings Inc")</f>
        <v>0</v>
      </c>
      <c r="C1486">
        <v>-0.159999999999999</v>
      </c>
      <c r="D1486">
        <v>-0.032786885245901</v>
      </c>
      <c r="E1486">
        <v>-0.206278026905829</v>
      </c>
      <c r="F1486">
        <v>-0.328819068255688</v>
      </c>
      <c r="G1486">
        <v>-0.21233312142403</v>
      </c>
      <c r="H1486">
        <v>0.301470588235294</v>
      </c>
      <c r="I1486">
        <v>-0.357698289269051</v>
      </c>
    </row>
    <row r="1487" spans="1:9">
      <c r="A1487" s="1" t="s">
        <v>1499</v>
      </c>
      <c r="B1487">
        <f>HYPERLINK("https://www.suredividend.com/sure-analysis-SBRA/","Sabra Healthcare REIT Inc")</f>
        <v>0</v>
      </c>
      <c r="C1487">
        <v>-0.177733065057008</v>
      </c>
      <c r="D1487">
        <v>-0.1279731421418</v>
      </c>
      <c r="E1487">
        <v>-0.06605419323384401</v>
      </c>
      <c r="F1487">
        <v>-0.033747891741933</v>
      </c>
      <c r="G1487">
        <v>-0.090281745531175</v>
      </c>
      <c r="H1487">
        <v>-0.013795599887382</v>
      </c>
      <c r="I1487">
        <v>-0.12549752485841</v>
      </c>
    </row>
    <row r="1488" spans="1:9">
      <c r="A1488" s="1" t="s">
        <v>1500</v>
      </c>
      <c r="B1488">
        <f>HYPERLINK("https://www.suredividend.com/sure-analysis-SBSI/","Southside Bancshares Inc")</f>
        <v>0</v>
      </c>
      <c r="C1488">
        <v>-0.052813163481953</v>
      </c>
      <c r="D1488">
        <v>-0.044774361733163</v>
      </c>
      <c r="E1488">
        <v>-0.07099145437081701</v>
      </c>
      <c r="F1488">
        <v>-0.1251936388415</v>
      </c>
      <c r="G1488">
        <v>-0.060418586284059</v>
      </c>
      <c r="H1488">
        <v>0.445536213335061</v>
      </c>
      <c r="I1488">
        <v>0.135503165664471</v>
      </c>
    </row>
    <row r="1489" spans="1:9">
      <c r="A1489" s="1" t="s">
        <v>1501</v>
      </c>
      <c r="B1489">
        <f>HYPERLINK("https://www.suredividend.com/sure-analysis-research-database/","Silverback Therapeutics Inc")</f>
        <v>0</v>
      </c>
      <c r="C1489">
        <v>-0.028901734104046</v>
      </c>
      <c r="D1489">
        <v>0.102844638949671</v>
      </c>
      <c r="E1489">
        <v>0.536585365853658</v>
      </c>
      <c r="F1489">
        <v>-0.243243243243243</v>
      </c>
      <c r="G1489">
        <v>-0.477178423236514</v>
      </c>
      <c r="H1489">
        <v>-0.7984</v>
      </c>
      <c r="I1489">
        <v>-0.7984</v>
      </c>
    </row>
    <row r="1490" spans="1:9">
      <c r="A1490" s="1" t="s">
        <v>1502</v>
      </c>
      <c r="B1490">
        <f>HYPERLINK("https://www.suredividend.com/sure-analysis-SCHL/","Scholastic Corp.")</f>
        <v>0</v>
      </c>
      <c r="C1490">
        <v>-0.303251493032515</v>
      </c>
      <c r="D1490">
        <v>-0.072000942729201</v>
      </c>
      <c r="E1490">
        <v>-0.194000291695132</v>
      </c>
      <c r="F1490">
        <v>-0.202119575679591</v>
      </c>
      <c r="G1490">
        <v>-0.126380803674192</v>
      </c>
      <c r="H1490">
        <v>0.512009676861931</v>
      </c>
      <c r="I1490">
        <v>-0.071680964744505</v>
      </c>
    </row>
    <row r="1491" spans="1:9">
      <c r="A1491" s="1" t="s">
        <v>1503</v>
      </c>
      <c r="B1491">
        <f>HYPERLINK("https://www.suredividend.com/sure-analysis-research-database/","Schnitzer Steel Industries, Inc.")</f>
        <v>0</v>
      </c>
      <c r="C1491">
        <v>-0.15814226925338</v>
      </c>
      <c r="D1491">
        <v>-0.14913844325609</v>
      </c>
      <c r="E1491">
        <v>-0.442212298206081</v>
      </c>
      <c r="F1491">
        <v>-0.440505888949014</v>
      </c>
      <c r="G1491">
        <v>-0.397925955824078</v>
      </c>
      <c r="H1491">
        <v>0.414307019189934</v>
      </c>
      <c r="I1491">
        <v>0.209005061442278</v>
      </c>
    </row>
    <row r="1492" spans="1:9">
      <c r="A1492" s="1" t="s">
        <v>1504</v>
      </c>
      <c r="B1492">
        <f>HYPERLINK("https://www.suredividend.com/sure-analysis-SCL/","Stepan Co.")</f>
        <v>0</v>
      </c>
      <c r="C1492">
        <v>-0.074471224790949</v>
      </c>
      <c r="D1492">
        <v>-0.041389007764259</v>
      </c>
      <c r="E1492">
        <v>-0.03952956550147</v>
      </c>
      <c r="F1492">
        <v>-0.235903441845657</v>
      </c>
      <c r="G1492">
        <v>-0.197579775052816</v>
      </c>
      <c r="H1492">
        <v>-0.168937630571222</v>
      </c>
      <c r="I1492">
        <v>0.131865725690993</v>
      </c>
    </row>
    <row r="1493" spans="1:9">
      <c r="A1493" s="1" t="s">
        <v>1505</v>
      </c>
      <c r="B1493">
        <f>HYPERLINK("https://www.suredividend.com/sure-analysis-research-database/","Comscore Inc.")</f>
        <v>0</v>
      </c>
      <c r="C1493">
        <v>-0.357798165137614</v>
      </c>
      <c r="D1493">
        <v>-0.296482412060301</v>
      </c>
      <c r="E1493">
        <v>-0.442231075697211</v>
      </c>
      <c r="F1493">
        <v>-0.580838323353293</v>
      </c>
      <c r="G1493">
        <v>-0.622641509433962</v>
      </c>
      <c r="H1493">
        <v>-0.333333333333333</v>
      </c>
      <c r="I1493">
        <v>-0.9387576552930881</v>
      </c>
    </row>
    <row r="1494" spans="1:9">
      <c r="A1494" s="1" t="s">
        <v>1506</v>
      </c>
      <c r="B1494">
        <f>HYPERLINK("https://www.suredividend.com/sure-analysis-research-database/","Steelcase, Inc.")</f>
        <v>0</v>
      </c>
      <c r="C1494">
        <v>-0.370720632139728</v>
      </c>
      <c r="D1494">
        <v>-0.328731072886075</v>
      </c>
      <c r="E1494">
        <v>-0.342983266605071</v>
      </c>
      <c r="F1494">
        <v>-0.374633574359976</v>
      </c>
      <c r="G1494">
        <v>-0.401589527816736</v>
      </c>
      <c r="H1494">
        <v>-0.329568504956812</v>
      </c>
      <c r="I1494">
        <v>-0.441194446869815</v>
      </c>
    </row>
    <row r="1495" spans="1:9">
      <c r="A1495" s="1" t="s">
        <v>1507</v>
      </c>
      <c r="B1495">
        <f>HYPERLINK("https://www.suredividend.com/sure-analysis-research-database/","Scansource, Inc.")</f>
        <v>0</v>
      </c>
      <c r="C1495">
        <v>-0.07123098201936301</v>
      </c>
      <c r="D1495">
        <v>-0.12989957887917</v>
      </c>
      <c r="E1495">
        <v>-0.173538461538461</v>
      </c>
      <c r="F1495">
        <v>-0.234321550741163</v>
      </c>
      <c r="G1495">
        <v>-0.267720828789531</v>
      </c>
      <c r="H1495">
        <v>0.257490636704119</v>
      </c>
      <c r="I1495">
        <v>-0.392994350282485</v>
      </c>
    </row>
    <row r="1496" spans="1:9">
      <c r="A1496" s="1" t="s">
        <v>1508</v>
      </c>
      <c r="B1496">
        <f>HYPERLINK("https://www.suredividend.com/sure-analysis-research-database/","Sculptor Capital Management Inc")</f>
        <v>0</v>
      </c>
      <c r="C1496">
        <v>0.04994903160040701</v>
      </c>
      <c r="D1496">
        <v>0.253117586227872</v>
      </c>
      <c r="E1496">
        <v>-0.134293734976214</v>
      </c>
      <c r="F1496">
        <v>-0.5061207462851161</v>
      </c>
      <c r="G1496">
        <v>-0.618307881015819</v>
      </c>
      <c r="H1496">
        <v>0.05065589489360801</v>
      </c>
      <c r="I1496">
        <v>-0.380074511432509</v>
      </c>
    </row>
    <row r="1497" spans="1:9">
      <c r="A1497" s="1" t="s">
        <v>1509</v>
      </c>
      <c r="B1497">
        <f>HYPERLINK("https://www.suredividend.com/sure-analysis-research-database/","Shoe Carnival, Inc.")</f>
        <v>0</v>
      </c>
      <c r="C1497">
        <v>-0.051291286201563</v>
      </c>
      <c r="D1497">
        <v>0.04871194379391</v>
      </c>
      <c r="E1497">
        <v>-0.265012424868119</v>
      </c>
      <c r="F1497">
        <v>-0.419397667218139</v>
      </c>
      <c r="G1497">
        <v>-0.30377621333864</v>
      </c>
      <c r="H1497">
        <v>0.242425587641222</v>
      </c>
      <c r="I1497">
        <v>1.161989919082289</v>
      </c>
    </row>
    <row r="1498" spans="1:9">
      <c r="A1498" s="1" t="s">
        <v>1510</v>
      </c>
      <c r="B1498">
        <f>HYPERLINK("https://www.suredividend.com/sure-analysis-research-database/","SecureWorks Corp")</f>
        <v>0</v>
      </c>
      <c r="C1498">
        <v>-0.292452830188679</v>
      </c>
      <c r="D1498">
        <v>-0.302973977695167</v>
      </c>
      <c r="E1498">
        <v>-0.423076923076923</v>
      </c>
      <c r="F1498">
        <v>-0.530369442705072</v>
      </c>
      <c r="G1498">
        <v>-0.67686342093925</v>
      </c>
      <c r="H1498">
        <v>-0.363327674023769</v>
      </c>
      <c r="I1498">
        <v>-0.3941841680129241</v>
      </c>
    </row>
    <row r="1499" spans="1:9">
      <c r="A1499" s="1" t="s">
        <v>1511</v>
      </c>
      <c r="B1499">
        <f>HYPERLINK("https://www.suredividend.com/sure-analysis-research-database/","Schrodinger Inc")</f>
        <v>0</v>
      </c>
      <c r="C1499">
        <v>-0.150445632798574</v>
      </c>
      <c r="D1499">
        <v>-0.25577763897564</v>
      </c>
      <c r="E1499">
        <v>-0.242048346055979</v>
      </c>
      <c r="F1499">
        <v>-0.315819695664656</v>
      </c>
      <c r="G1499">
        <v>-0.5252988047808761</v>
      </c>
      <c r="H1499">
        <v>-0.579866008462623</v>
      </c>
      <c r="I1499">
        <v>-0.167946927374301</v>
      </c>
    </row>
    <row r="1500" spans="1:9">
      <c r="A1500" s="1" t="s">
        <v>1512</v>
      </c>
      <c r="B1500">
        <f>HYPERLINK("https://www.suredividend.com/sure-analysis-research-database/","Stronghold Digital Mining Inc")</f>
        <v>0</v>
      </c>
      <c r="C1500">
        <v>-0.401863354037267</v>
      </c>
      <c r="D1500">
        <v>-0.511167512690355</v>
      </c>
      <c r="E1500">
        <v>-0.8042682926829261</v>
      </c>
      <c r="F1500">
        <v>-0.9250583657587541</v>
      </c>
      <c r="G1500">
        <v>-0.966678200692041</v>
      </c>
      <c r="H1500">
        <v>-0.966678200692041</v>
      </c>
      <c r="I1500">
        <v>-0.966678200692041</v>
      </c>
    </row>
    <row r="1501" spans="1:9">
      <c r="A1501" s="1" t="s">
        <v>1513</v>
      </c>
      <c r="B1501">
        <f>HYPERLINK("https://www.suredividend.com/sure-analysis-research-database/","SeaWorld Entertainment Inc")</f>
        <v>0</v>
      </c>
      <c r="C1501">
        <v>-0.155567490153956</v>
      </c>
      <c r="D1501">
        <v>0.075222247549578</v>
      </c>
      <c r="E1501">
        <v>-0.271055478287745</v>
      </c>
      <c r="F1501">
        <v>-0.272741288930003</v>
      </c>
      <c r="G1501">
        <v>-0.200779396814639</v>
      </c>
      <c r="H1501">
        <v>1.079805996472663</v>
      </c>
      <c r="I1501">
        <v>2.58434650455927</v>
      </c>
    </row>
    <row r="1502" spans="1:9">
      <c r="A1502" s="1" t="s">
        <v>1514</v>
      </c>
      <c r="B1502">
        <f>HYPERLINK("https://www.suredividend.com/sure-analysis-research-database/","Seelos Therapeutics Inc")</f>
        <v>0</v>
      </c>
      <c r="C1502">
        <v>-0.238538461538461</v>
      </c>
      <c r="D1502">
        <v>0.041890327333964</v>
      </c>
      <c r="E1502">
        <v>0.183666148511299</v>
      </c>
      <c r="F1502">
        <v>-0.392699386503067</v>
      </c>
      <c r="G1502">
        <v>-0.5580803571428571</v>
      </c>
      <c r="H1502">
        <v>0.04563219604943401</v>
      </c>
      <c r="I1502">
        <v>-0.4677956989247311</v>
      </c>
    </row>
    <row r="1503" spans="1:9">
      <c r="A1503" s="1" t="s">
        <v>1515</v>
      </c>
      <c r="B1503">
        <f>HYPERLINK("https://www.suredividend.com/sure-analysis-research-database/","Seer Inc")</f>
        <v>0</v>
      </c>
      <c r="C1503">
        <v>-0.277833500501504</v>
      </c>
      <c r="D1503">
        <v>-0.3283582089552231</v>
      </c>
      <c r="E1503">
        <v>-0.416058394160583</v>
      </c>
      <c r="F1503">
        <v>-0.6843489697501091</v>
      </c>
      <c r="G1503">
        <v>-0.7789376727049431</v>
      </c>
      <c r="H1503">
        <v>-0.872476089266737</v>
      </c>
      <c r="I1503">
        <v>-0.872476089266737</v>
      </c>
    </row>
    <row r="1504" spans="1:9">
      <c r="A1504" s="1" t="s">
        <v>1516</v>
      </c>
      <c r="B1504">
        <f>HYPERLINK("https://www.suredividend.com/sure-analysis-research-database/","Selecta Biosciences Inc")</f>
        <v>0</v>
      </c>
      <c r="C1504">
        <v>-0.178378378378378</v>
      </c>
      <c r="D1504">
        <v>-0.037974683544303</v>
      </c>
      <c r="E1504">
        <v>0.277310924369748</v>
      </c>
      <c r="F1504">
        <v>-0.533742331288343</v>
      </c>
      <c r="G1504">
        <v>-0.644859813084112</v>
      </c>
      <c r="H1504">
        <v>-0.247524752475247</v>
      </c>
      <c r="I1504">
        <v>-0.9295970356646591</v>
      </c>
    </row>
    <row r="1505" spans="1:9">
      <c r="A1505" s="1" t="s">
        <v>1517</v>
      </c>
      <c r="B1505">
        <f>HYPERLINK("https://www.suredividend.com/sure-analysis-research-database/","Select Medical Holdings Corporation")</f>
        <v>0</v>
      </c>
      <c r="C1505">
        <v>-0.138993238166791</v>
      </c>
      <c r="D1505">
        <v>-0.103437215178979</v>
      </c>
      <c r="E1505">
        <v>-0.033498633741524</v>
      </c>
      <c r="F1505">
        <v>-0.208864036450243</v>
      </c>
      <c r="G1505">
        <v>-0.323738205250765</v>
      </c>
      <c r="H1505">
        <v>0.04695301044669</v>
      </c>
      <c r="I1505">
        <v>0.313083282249886</v>
      </c>
    </row>
    <row r="1506" spans="1:9">
      <c r="A1506" s="1" t="s">
        <v>1518</v>
      </c>
      <c r="B1506">
        <f>HYPERLINK("https://www.suredividend.com/sure-analysis-research-database/","Seneca Foods Corp.")</f>
        <v>0</v>
      </c>
      <c r="C1506">
        <v>0.124899919935948</v>
      </c>
      <c r="D1506">
        <v>0.04363974001857</v>
      </c>
      <c r="E1506">
        <v>0.09808518952715901</v>
      </c>
      <c r="F1506">
        <v>0.172054223149113</v>
      </c>
      <c r="G1506">
        <v>0.05798192771084301</v>
      </c>
      <c r="H1506">
        <v>0.393849206349206</v>
      </c>
      <c r="I1506">
        <v>0.6195965417867431</v>
      </c>
    </row>
    <row r="1507" spans="1:9">
      <c r="A1507" s="1" t="s">
        <v>1519</v>
      </c>
      <c r="B1507">
        <f>HYPERLINK("https://www.suredividend.com/sure-analysis-research-database/","Senseonics Holdings Inc")</f>
        <v>0</v>
      </c>
      <c r="C1507">
        <v>-0.26875</v>
      </c>
      <c r="D1507">
        <v>-0.064</v>
      </c>
      <c r="E1507">
        <v>-0.35</v>
      </c>
      <c r="F1507">
        <v>-0.561797752808988</v>
      </c>
      <c r="G1507">
        <v>-0.634375</v>
      </c>
      <c r="H1507">
        <v>1.92134831460674</v>
      </c>
      <c r="I1507">
        <v>-0.627388535031847</v>
      </c>
    </row>
    <row r="1508" spans="1:9">
      <c r="A1508" s="1" t="s">
        <v>1520</v>
      </c>
      <c r="B1508">
        <f>HYPERLINK("https://www.suredividend.com/sure-analysis-research-database/","Sera Prognostics Inc")</f>
        <v>0</v>
      </c>
      <c r="C1508">
        <v>-0.131979695431472</v>
      </c>
      <c r="D1508">
        <v>-0.145</v>
      </c>
      <c r="E1508">
        <v>-0.428093645484949</v>
      </c>
      <c r="F1508">
        <v>-0.7510917030567681</v>
      </c>
      <c r="G1508">
        <v>-0.8460846084608461</v>
      </c>
      <c r="H1508">
        <v>-0.8563025210084031</v>
      </c>
      <c r="I1508">
        <v>-0.8563025210084031</v>
      </c>
    </row>
    <row r="1509" spans="1:9">
      <c r="A1509" s="1" t="s">
        <v>1521</v>
      </c>
      <c r="B1509">
        <f>HYPERLINK("https://www.suredividend.com/sure-analysis-research-database/","Sesen Bio Inc.")</f>
        <v>0</v>
      </c>
      <c r="C1509">
        <v>-0.241960183767228</v>
      </c>
      <c r="D1509">
        <v>-0.464285714285714</v>
      </c>
      <c r="E1509">
        <v>-0.130969101123595</v>
      </c>
      <c r="F1509">
        <v>-0.392638036809815</v>
      </c>
      <c r="G1509">
        <v>-0.325888601389078</v>
      </c>
      <c r="H1509">
        <v>-0.619230769230769</v>
      </c>
      <c r="I1509">
        <v>-0.660958904109589</v>
      </c>
    </row>
    <row r="1510" spans="1:9">
      <c r="A1510" s="1" t="s">
        <v>1522</v>
      </c>
      <c r="B1510">
        <f>HYPERLINK("https://www.suredividend.com/sure-analysis-research-database/","ServisFirst Bancshares Inc")</f>
        <v>0</v>
      </c>
      <c r="C1510">
        <v>-0.021393266191681</v>
      </c>
      <c r="D1510">
        <v>0.03438485370396</v>
      </c>
      <c r="E1510">
        <v>-0.004511596777843001</v>
      </c>
      <c r="F1510">
        <v>-0.018316061868641</v>
      </c>
      <c r="G1510">
        <v>0.101075245911242</v>
      </c>
      <c r="H1510">
        <v>1.232866060435881</v>
      </c>
      <c r="I1510">
        <v>1.257188476602481</v>
      </c>
    </row>
    <row r="1511" spans="1:9">
      <c r="A1511" s="1" t="s">
        <v>1523</v>
      </c>
      <c r="B1511">
        <f>HYPERLINK("https://www.suredividend.com/sure-analysis-research-database/","Stitch Fix Inc")</f>
        <v>0</v>
      </c>
      <c r="C1511">
        <v>-0.290613718411552</v>
      </c>
      <c r="D1511">
        <v>-0.27490774907749</v>
      </c>
      <c r="E1511">
        <v>-0.6085657370517921</v>
      </c>
      <c r="F1511">
        <v>-0.7922832980972511</v>
      </c>
      <c r="G1511">
        <v>-0.8859547301218801</v>
      </c>
      <c r="H1511">
        <v>-0.8751588310038121</v>
      </c>
      <c r="I1511">
        <v>-0.74059405940594</v>
      </c>
    </row>
    <row r="1512" spans="1:9">
      <c r="A1512" s="1" t="s">
        <v>1524</v>
      </c>
      <c r="B1512">
        <f>HYPERLINK("https://www.suredividend.com/sure-analysis-SFL/","SFL Corporation Ltd")</f>
        <v>0</v>
      </c>
      <c r="C1512">
        <v>-0.149953513082746</v>
      </c>
      <c r="D1512">
        <v>-0.0005465760912</v>
      </c>
      <c r="E1512">
        <v>-0.10457307323313</v>
      </c>
      <c r="F1512">
        <v>0.171655355484942</v>
      </c>
      <c r="G1512">
        <v>0.18765160452262</v>
      </c>
      <c r="H1512">
        <v>0.341779355167198</v>
      </c>
      <c r="I1512">
        <v>-0.001660185628809</v>
      </c>
    </row>
    <row r="1513" spans="1:9">
      <c r="A1513" s="1" t="s">
        <v>1525</v>
      </c>
      <c r="B1513">
        <f>HYPERLINK("https://www.suredividend.com/sure-analysis-research-database/","Sprouts Farmers Market Inc")</f>
        <v>0</v>
      </c>
      <c r="C1513">
        <v>-0.095657851779301</v>
      </c>
      <c r="D1513">
        <v>0.028592647604901</v>
      </c>
      <c r="E1513">
        <v>-0.202877697841726</v>
      </c>
      <c r="F1513">
        <v>-0.06671159029649501</v>
      </c>
      <c r="G1513">
        <v>0.240483654276757</v>
      </c>
      <c r="H1513">
        <v>0.271225332721431</v>
      </c>
      <c r="I1513">
        <v>0.4981070849107621</v>
      </c>
    </row>
    <row r="1514" spans="1:9">
      <c r="A1514" s="1" t="s">
        <v>1526</v>
      </c>
      <c r="B1514">
        <f>HYPERLINK("https://www.suredividend.com/sure-analysis-research-database/","Simmons First National Corp.")</f>
        <v>0</v>
      </c>
      <c r="C1514">
        <v>-0.058949914988284</v>
      </c>
      <c r="D1514">
        <v>0.06476651704104901</v>
      </c>
      <c r="E1514">
        <v>-0.110583457252042</v>
      </c>
      <c r="F1514">
        <v>-0.229930607229999</v>
      </c>
      <c r="G1514">
        <v>-0.253741355138619</v>
      </c>
      <c r="H1514">
        <v>0.357982495758212</v>
      </c>
      <c r="I1514">
        <v>-0.133627705223154</v>
      </c>
    </row>
    <row r="1515" spans="1:9">
      <c r="A1515" s="1" t="s">
        <v>1527</v>
      </c>
      <c r="B1515">
        <f>HYPERLINK("https://www.suredividend.com/sure-analysis-research-database/","Southern First Bancshares Inc")</f>
        <v>0</v>
      </c>
      <c r="C1515">
        <v>-0.05801509518981601</v>
      </c>
      <c r="D1515">
        <v>-0.059604138551506</v>
      </c>
      <c r="E1515">
        <v>-0.126410363560384</v>
      </c>
      <c r="F1515">
        <v>-0.330932949271883</v>
      </c>
      <c r="G1515">
        <v>-0.224591988130563</v>
      </c>
      <c r="H1515">
        <v>0.522024026210411</v>
      </c>
      <c r="I1515">
        <v>0.12241610738255</v>
      </c>
    </row>
    <row r="1516" spans="1:9">
      <c r="A1516" s="1" t="s">
        <v>1528</v>
      </c>
      <c r="B1516">
        <f>HYPERLINK("https://www.suredividend.com/sure-analysis-research-database/","Shift Technologies Inc")</f>
        <v>0</v>
      </c>
      <c r="C1516">
        <v>-0.286438679245283</v>
      </c>
      <c r="D1516">
        <v>-0.379511894995898</v>
      </c>
      <c r="E1516">
        <v>-0.7004455445544551</v>
      </c>
      <c r="F1516">
        <v>-0.822551319648093</v>
      </c>
      <c r="G1516">
        <v>-0.909144144144144</v>
      </c>
      <c r="H1516">
        <v>-0.9465459363957591</v>
      </c>
      <c r="I1516">
        <v>-0.9385685279187811</v>
      </c>
    </row>
    <row r="1517" spans="1:9">
      <c r="A1517" s="1" t="s">
        <v>1529</v>
      </c>
      <c r="B1517">
        <f>HYPERLINK("https://www.suredividend.com/sure-analysis-research-database/","Sweetgreen Inc")</f>
        <v>0</v>
      </c>
      <c r="C1517">
        <v>-0.116658428077113</v>
      </c>
      <c r="D1517">
        <v>0.259337561663143</v>
      </c>
      <c r="E1517">
        <v>-0.357887172116421</v>
      </c>
      <c r="F1517">
        <v>-0.4415625</v>
      </c>
      <c r="G1517">
        <v>-0.638989898989899</v>
      </c>
      <c r="H1517">
        <v>-0.638989898989899</v>
      </c>
      <c r="I1517">
        <v>-0.638989898989899</v>
      </c>
    </row>
    <row r="1518" spans="1:9">
      <c r="A1518" s="1" t="s">
        <v>1530</v>
      </c>
      <c r="B1518">
        <f>HYPERLINK("https://www.suredividend.com/sure-analysis-research-database/","Superior Group of Companies Inc..")</f>
        <v>0</v>
      </c>
      <c r="C1518">
        <v>-0.194618834080717</v>
      </c>
      <c r="D1518">
        <v>-0.501180391612276</v>
      </c>
      <c r="E1518">
        <v>-0.47424195408692</v>
      </c>
      <c r="F1518">
        <v>-0.580976911734512</v>
      </c>
      <c r="G1518">
        <v>-0.623439033186007</v>
      </c>
      <c r="H1518">
        <v>-0.6263875251709961</v>
      </c>
      <c r="I1518">
        <v>-0.5642172896062421</v>
      </c>
    </row>
    <row r="1519" spans="1:9">
      <c r="A1519" s="1" t="s">
        <v>1531</v>
      </c>
      <c r="B1519">
        <f>HYPERLINK("https://www.suredividend.com/sure-analysis-research-database/","SMART Global Holdings Inc")</f>
        <v>0</v>
      </c>
      <c r="C1519">
        <v>-0.266004415011037</v>
      </c>
      <c r="D1519">
        <v>-0.232101616628175</v>
      </c>
      <c r="E1519">
        <v>-0.411504424778761</v>
      </c>
      <c r="F1519">
        <v>-0.6252993379349201</v>
      </c>
      <c r="G1519">
        <v>-0.3964147946448831</v>
      </c>
      <c r="H1519">
        <v>0.05723370429252701</v>
      </c>
      <c r="I1519">
        <v>-0.196617336152219</v>
      </c>
    </row>
    <row r="1520" spans="1:9">
      <c r="A1520" s="1" t="s">
        <v>1532</v>
      </c>
      <c r="B1520">
        <f>HYPERLINK("https://www.suredividend.com/sure-analysis-research-database/","Sight Sciences Inc")</f>
        <v>0</v>
      </c>
      <c r="C1520">
        <v>-0.208053691275167</v>
      </c>
      <c r="D1520">
        <v>-0.41871921182266</v>
      </c>
      <c r="E1520">
        <v>-0.457720588235294</v>
      </c>
      <c r="F1520">
        <v>-0.664200341491178</v>
      </c>
      <c r="G1520">
        <v>-0.731207289293849</v>
      </c>
      <c r="H1520">
        <v>-0.8238805970149251</v>
      </c>
      <c r="I1520">
        <v>-0.8238805970149251</v>
      </c>
    </row>
    <row r="1521" spans="1:9">
      <c r="A1521" s="1" t="s">
        <v>1533</v>
      </c>
      <c r="B1521">
        <f>HYPERLINK("https://www.suredividend.com/sure-analysis-research-database/","Sangamo Therapeutics Inc")</f>
        <v>0</v>
      </c>
      <c r="C1521">
        <v>-0.173684210526315</v>
      </c>
      <c r="D1521">
        <v>0.017278617710583</v>
      </c>
      <c r="E1521">
        <v>-0.172231985940246</v>
      </c>
      <c r="F1521">
        <v>-0.372</v>
      </c>
      <c r="G1521">
        <v>-0.462941847206385</v>
      </c>
      <c r="H1521">
        <v>-0.5650969529085871</v>
      </c>
      <c r="I1521">
        <v>-0.7037735849056601</v>
      </c>
    </row>
    <row r="1522" spans="1:9">
      <c r="A1522" s="1" t="s">
        <v>1534</v>
      </c>
      <c r="B1522">
        <f>HYPERLINK("https://www.suredividend.com/sure-analysis-research-database/","Surgery Partners Inc")</f>
        <v>0</v>
      </c>
      <c r="C1522">
        <v>-0.197899573350836</v>
      </c>
      <c r="D1522">
        <v>-0.212121212121212</v>
      </c>
      <c r="E1522">
        <v>-0.5377340646869671</v>
      </c>
      <c r="F1522">
        <v>-0.5424077888035941</v>
      </c>
      <c r="G1522">
        <v>-0.378117048346055</v>
      </c>
      <c r="H1522">
        <v>0.05709342560553601</v>
      </c>
      <c r="I1522">
        <v>1.586243386243387</v>
      </c>
    </row>
    <row r="1523" spans="1:9">
      <c r="A1523" s="1" t="s">
        <v>1535</v>
      </c>
      <c r="B1523">
        <f>HYPERLINK("https://www.suredividend.com/sure-analysis-research-database/","Sigilon Therapeutics Inc")</f>
        <v>0</v>
      </c>
      <c r="C1523">
        <v>-0.212634822804314</v>
      </c>
      <c r="D1523">
        <v>-0.37454100367197</v>
      </c>
      <c r="E1523">
        <v>-0.670322580645161</v>
      </c>
      <c r="F1523">
        <v>-0.8148550724637681</v>
      </c>
      <c r="G1523">
        <v>-0.9015414258188821</v>
      </c>
      <c r="H1523">
        <v>-0.985307648073605</v>
      </c>
      <c r="I1523">
        <v>-0.985307648073605</v>
      </c>
    </row>
    <row r="1524" spans="1:9">
      <c r="A1524" s="1" t="s">
        <v>1536</v>
      </c>
      <c r="B1524">
        <f>HYPERLINK("https://www.suredividend.com/sure-analysis-research-database/","Shake Shack Inc")</f>
        <v>0</v>
      </c>
      <c r="C1524">
        <v>-0.06208119826566801</v>
      </c>
      <c r="D1524">
        <v>0.164423782725715</v>
      </c>
      <c r="E1524">
        <v>-0.224286878565607</v>
      </c>
      <c r="F1524">
        <v>-0.340493348115299</v>
      </c>
      <c r="G1524">
        <v>-0.391042866282789</v>
      </c>
      <c r="H1524">
        <v>-0.34067608755888</v>
      </c>
      <c r="I1524">
        <v>0.421870331640275</v>
      </c>
    </row>
    <row r="1525" spans="1:9">
      <c r="A1525" s="1" t="s">
        <v>1537</v>
      </c>
      <c r="B1525">
        <f>HYPERLINK("https://www.suredividend.com/sure-analysis-research-database/","Shenandoah Telecommunications Co.")</f>
        <v>0</v>
      </c>
      <c r="C1525">
        <v>-0.235377358490566</v>
      </c>
      <c r="D1525">
        <v>-0.236817325800376</v>
      </c>
      <c r="E1525">
        <v>-0.333196215549156</v>
      </c>
      <c r="F1525">
        <v>-0.364313725490196</v>
      </c>
      <c r="G1525">
        <v>-0.483919031639806</v>
      </c>
      <c r="H1525">
        <v>-0.446398688569379</v>
      </c>
      <c r="I1525">
        <v>-0.317692022763242</v>
      </c>
    </row>
    <row r="1526" spans="1:9">
      <c r="A1526" s="1" t="s">
        <v>1538</v>
      </c>
      <c r="B1526">
        <f>HYPERLINK("https://www.suredividend.com/sure-analysis-research-database/","Sunstone Hotel Investors Inc")</f>
        <v>0</v>
      </c>
      <c r="C1526">
        <v>-0.145398057561001</v>
      </c>
      <c r="D1526">
        <v>-0.007362064686905001</v>
      </c>
      <c r="E1526">
        <v>-0.109924343569203</v>
      </c>
      <c r="F1526">
        <v>-0.177455424081706</v>
      </c>
      <c r="G1526">
        <v>-0.228122085356832</v>
      </c>
      <c r="H1526">
        <v>0.178073114162647</v>
      </c>
      <c r="I1526">
        <v>-0.317377021203976</v>
      </c>
    </row>
    <row r="1527" spans="1:9">
      <c r="A1527" s="1" t="s">
        <v>1539</v>
      </c>
      <c r="B1527">
        <f>HYPERLINK("https://www.suredividend.com/sure-analysis-research-database/","Steven Madden Ltd.")</f>
        <v>0</v>
      </c>
      <c r="C1527">
        <v>-0.103384214028314</v>
      </c>
      <c r="D1527">
        <v>-0.18299966983822</v>
      </c>
      <c r="E1527">
        <v>-0.281979857451107</v>
      </c>
      <c r="F1527">
        <v>-0.403505773196328</v>
      </c>
      <c r="G1527">
        <v>-0.331543907644023</v>
      </c>
      <c r="H1527">
        <v>0.338927775618922</v>
      </c>
      <c r="I1527">
        <v>0.030713130800601</v>
      </c>
    </row>
    <row r="1528" spans="1:9">
      <c r="A1528" s="1" t="s">
        <v>1540</v>
      </c>
      <c r="B1528">
        <f>HYPERLINK("https://www.suredividend.com/sure-analysis-research-database/","Shyft Group Inc (The)")</f>
        <v>0</v>
      </c>
      <c r="C1528">
        <v>-0.175891758917589</v>
      </c>
      <c r="D1528">
        <v>0.032633266203608</v>
      </c>
      <c r="E1528">
        <v>-0.330216563311196</v>
      </c>
      <c r="F1528">
        <v>-0.5887880294354121</v>
      </c>
      <c r="G1528">
        <v>-0.5008021934900631</v>
      </c>
      <c r="H1528">
        <v>-0.032742391869261</v>
      </c>
      <c r="I1528">
        <v>0.660580624907057</v>
      </c>
    </row>
    <row r="1529" spans="1:9">
      <c r="A1529" s="1" t="s">
        <v>1541</v>
      </c>
      <c r="B1529">
        <f>HYPERLINK("https://www.suredividend.com/sure-analysis-research-database/","Silvergate Capital Corp")</f>
        <v>0</v>
      </c>
      <c r="C1529">
        <v>-0.296436854311617</v>
      </c>
      <c r="D1529">
        <v>0.054844318002212</v>
      </c>
      <c r="E1529">
        <v>-0.4781452811009461</v>
      </c>
      <c r="F1529">
        <v>-0.54966261808367</v>
      </c>
      <c r="G1529">
        <v>-0.5896458435809141</v>
      </c>
      <c r="H1529">
        <v>3.308586184635248</v>
      </c>
      <c r="I1529">
        <v>4.330670926517572</v>
      </c>
    </row>
    <row r="1530" spans="1:9">
      <c r="A1530" s="1" t="s">
        <v>1542</v>
      </c>
      <c r="B1530">
        <f>HYPERLINK("https://www.suredividend.com/sure-analysis-research-database/","SI-BONE Inc")</f>
        <v>0</v>
      </c>
      <c r="C1530">
        <v>-0.079447322970639</v>
      </c>
      <c r="D1530">
        <v>0.148706896551724</v>
      </c>
      <c r="E1530">
        <v>-0.26685006877579</v>
      </c>
      <c r="F1530">
        <v>-0.280054029716344</v>
      </c>
      <c r="G1530">
        <v>-0.260407030527289</v>
      </c>
      <c r="H1530">
        <v>-0.351844345358735</v>
      </c>
      <c r="I1530">
        <v>-0.202891326021934</v>
      </c>
    </row>
    <row r="1531" spans="1:9">
      <c r="A1531" s="1" t="s">
        <v>1543</v>
      </c>
      <c r="B1531">
        <f>HYPERLINK("https://www.suredividend.com/sure-analysis-research-database/","Sientra Inc")</f>
        <v>0</v>
      </c>
      <c r="C1531">
        <v>0.18015625</v>
      </c>
      <c r="D1531">
        <v>-0.151252949769637</v>
      </c>
      <c r="E1531">
        <v>-0.6716086956521731</v>
      </c>
      <c r="F1531">
        <v>-0.794196185286103</v>
      </c>
      <c r="G1531">
        <v>-0.867024647887323</v>
      </c>
      <c r="H1531">
        <v>-0.83140625</v>
      </c>
      <c r="I1531">
        <v>-0.952437027707808</v>
      </c>
    </row>
    <row r="1532" spans="1:9">
      <c r="A1532" s="1" t="s">
        <v>1544</v>
      </c>
      <c r="B1532">
        <f>HYPERLINK("https://www.suredividend.com/sure-analysis-research-database/","Signet Jewelers Ltd")</f>
        <v>0</v>
      </c>
      <c r="C1532">
        <v>-0.10592686002522</v>
      </c>
      <c r="D1532">
        <v>0.022202998846597</v>
      </c>
      <c r="E1532">
        <v>-0.186265212694377</v>
      </c>
      <c r="F1532">
        <v>-0.342707553532483</v>
      </c>
      <c r="G1532">
        <v>-0.329553997380626</v>
      </c>
      <c r="H1532">
        <v>1.759573608901473</v>
      </c>
      <c r="I1532">
        <v>-0.022742935906271</v>
      </c>
    </row>
    <row r="1533" spans="1:9">
      <c r="A1533" s="1" t="s">
        <v>1545</v>
      </c>
      <c r="B1533">
        <f>HYPERLINK("https://www.suredividend.com/sure-analysis-research-database/","SIGA Technologies Inc")</f>
        <v>0</v>
      </c>
      <c r="C1533">
        <v>-0.334296028880866</v>
      </c>
      <c r="D1533">
        <v>-0.273443656422379</v>
      </c>
      <c r="E1533">
        <v>0.391761136353344</v>
      </c>
      <c r="F1533">
        <v>0.304766217593116</v>
      </c>
      <c r="G1533">
        <v>0.37807338763919</v>
      </c>
      <c r="H1533">
        <v>0.393738757123637</v>
      </c>
      <c r="I1533">
        <v>3.786378030421015</v>
      </c>
    </row>
    <row r="1534" spans="1:9">
      <c r="A1534" s="1" t="s">
        <v>1546</v>
      </c>
      <c r="B1534">
        <f>HYPERLINK("https://www.suredividend.com/sure-analysis-research-database/","Selective Insurance Group Inc.")</f>
        <v>0</v>
      </c>
      <c r="C1534">
        <v>0.048596768314907</v>
      </c>
      <c r="D1534">
        <v>-0.016337392513405</v>
      </c>
      <c r="E1534">
        <v>-0.006303428028667001</v>
      </c>
      <c r="F1534">
        <v>0.06477078005470001</v>
      </c>
      <c r="G1534">
        <v>0.119758793239671</v>
      </c>
      <c r="H1534">
        <v>0.654167616952199</v>
      </c>
      <c r="I1534">
        <v>0.6944194684497561</v>
      </c>
    </row>
    <row r="1535" spans="1:9">
      <c r="A1535" s="1" t="s">
        <v>1547</v>
      </c>
      <c r="B1535">
        <f>HYPERLINK("https://www.suredividend.com/sure-analysis-research-database/","Silk Road Medical Inc")</f>
        <v>0</v>
      </c>
      <c r="C1535">
        <v>-0.04338002711251601</v>
      </c>
      <c r="D1535">
        <v>0.003555344868452</v>
      </c>
      <c r="E1535">
        <v>-0.05617476593847501</v>
      </c>
      <c r="F1535">
        <v>-0.006336540718141001</v>
      </c>
      <c r="G1535">
        <v>-0.251017159030603</v>
      </c>
      <c r="H1535">
        <v>-0.362733293196869</v>
      </c>
      <c r="I1535">
        <v>0.170259812050856</v>
      </c>
    </row>
    <row r="1536" spans="1:9">
      <c r="A1536" s="1" t="s">
        <v>1548</v>
      </c>
      <c r="B1536">
        <f>HYPERLINK("https://www.suredividend.com/sure-analysis-research-database/","SITE Centers Corp")</f>
        <v>0</v>
      </c>
      <c r="C1536">
        <v>-0.186845094366589</v>
      </c>
      <c r="D1536">
        <v>-0.181358293953713</v>
      </c>
      <c r="E1536">
        <v>-0.316242559947374</v>
      </c>
      <c r="F1536">
        <v>-0.298475595906368</v>
      </c>
      <c r="G1536">
        <v>-0.320992694861277</v>
      </c>
      <c r="H1536">
        <v>0.494766244002267</v>
      </c>
      <c r="I1536">
        <v>-0.200904803441801</v>
      </c>
    </row>
    <row r="1537" spans="1:9">
      <c r="A1537" s="1" t="s">
        <v>1549</v>
      </c>
      <c r="B1537">
        <f>HYPERLINK("https://www.suredividend.com/sure-analysis-research-database/","SiTime Corp")</f>
        <v>0</v>
      </c>
      <c r="C1537">
        <v>-0.213605575733778</v>
      </c>
      <c r="D1537">
        <v>-0.4759599659841691</v>
      </c>
      <c r="E1537">
        <v>-0.577879650121192</v>
      </c>
      <c r="F1537">
        <v>-0.7261571067204481</v>
      </c>
      <c r="G1537">
        <v>-0.626404887375833</v>
      </c>
      <c r="H1537">
        <v>-0.067403958090803</v>
      </c>
      <c r="I1537">
        <v>3.29544235924933</v>
      </c>
    </row>
    <row r="1538" spans="1:9">
      <c r="A1538" s="1" t="s">
        <v>1550</v>
      </c>
      <c r="B1538">
        <f>HYPERLINK("https://www.suredividend.com/sure-analysis-SJI/","South Jersey Industries Inc.")</f>
        <v>0</v>
      </c>
      <c r="C1538">
        <v>-0.031113695841814</v>
      </c>
      <c r="D1538">
        <v>-0.00434776112713</v>
      </c>
      <c r="E1538">
        <v>-0.01576489423608</v>
      </c>
      <c r="F1538">
        <v>0.31061908264531</v>
      </c>
      <c r="G1538">
        <v>0.537169799134534</v>
      </c>
      <c r="H1538">
        <v>0.7876879164744131</v>
      </c>
      <c r="I1538">
        <v>0.146865566841404</v>
      </c>
    </row>
    <row r="1539" spans="1:9">
      <c r="A1539" s="1" t="s">
        <v>1551</v>
      </c>
      <c r="B1539">
        <f>HYPERLINK("https://www.suredividend.com/sure-analysis-SJW/","SJW Group")</f>
        <v>0</v>
      </c>
      <c r="C1539">
        <v>-0.081273176761433</v>
      </c>
      <c r="D1539">
        <v>-0.047324545732747</v>
      </c>
      <c r="E1539">
        <v>-0.124277226789517</v>
      </c>
      <c r="F1539">
        <v>-0.173844236431162</v>
      </c>
      <c r="G1539">
        <v>-0.103983701122958</v>
      </c>
      <c r="H1539">
        <v>0.011900811256503</v>
      </c>
      <c r="I1539">
        <v>0.08526226258747201</v>
      </c>
    </row>
    <row r="1540" spans="1:9">
      <c r="A1540" s="1" t="s">
        <v>1552</v>
      </c>
      <c r="B1540">
        <f>HYPERLINK("https://www.suredividend.com/sure-analysis-research-database/","Beauty Health Company (The)")</f>
        <v>0</v>
      </c>
      <c r="C1540">
        <v>-0.023107569721115</v>
      </c>
      <c r="D1540">
        <v>-0.109011627906976</v>
      </c>
      <c r="E1540">
        <v>-0.204412719013627</v>
      </c>
      <c r="F1540">
        <v>-0.4925496688741721</v>
      </c>
      <c r="G1540">
        <v>-0.513105639396346</v>
      </c>
      <c r="H1540">
        <v>0.131006743604645</v>
      </c>
      <c r="I1540">
        <v>0.131006743604645</v>
      </c>
    </row>
    <row r="1541" spans="1:9">
      <c r="A1541" s="1" t="s">
        <v>1553</v>
      </c>
      <c r="B1541">
        <f>HYPERLINK("https://www.suredividend.com/sure-analysis-SKT/","Tanger Factory Outlet Centers, Inc.")</f>
        <v>0</v>
      </c>
      <c r="C1541">
        <v>-0.06476190476190401</v>
      </c>
      <c r="D1541">
        <v>0.007365462341765001</v>
      </c>
      <c r="E1541">
        <v>-0.114352539397182</v>
      </c>
      <c r="F1541">
        <v>-0.207979352618561</v>
      </c>
      <c r="G1541">
        <v>-0.06505277723121</v>
      </c>
      <c r="H1541">
        <v>1.409500597058871</v>
      </c>
      <c r="I1541">
        <v>-0.213288113867599</v>
      </c>
    </row>
    <row r="1542" spans="1:9">
      <c r="A1542" s="1" t="s">
        <v>1554</v>
      </c>
      <c r="B1542">
        <f>HYPERLINK("https://www.suredividend.com/sure-analysis-research-database/","Skyline Champion Corp")</f>
        <v>0</v>
      </c>
      <c r="C1542">
        <v>-0.029929878570206</v>
      </c>
      <c r="D1542">
        <v>0.030148928441699</v>
      </c>
      <c r="E1542">
        <v>0.120063191153238</v>
      </c>
      <c r="F1542">
        <v>-0.28184350468473</v>
      </c>
      <c r="G1542">
        <v>-0.070316341583346</v>
      </c>
      <c r="H1542">
        <v>0.920108327691266</v>
      </c>
      <c r="I1542">
        <v>3.781575087251944</v>
      </c>
    </row>
    <row r="1543" spans="1:9">
      <c r="A1543" s="1" t="s">
        <v>1555</v>
      </c>
      <c r="B1543">
        <f>HYPERLINK("https://www.suredividend.com/sure-analysis-research-database/","SkyWater Technology Inc")</f>
        <v>0</v>
      </c>
      <c r="C1543">
        <v>-0.405240174672489</v>
      </c>
      <c r="D1543">
        <v>-0.048882681564245</v>
      </c>
      <c r="E1543">
        <v>-0.21317157712305</v>
      </c>
      <c r="F1543">
        <v>-0.580147965474722</v>
      </c>
      <c r="G1543">
        <v>-0.7413596657804781</v>
      </c>
      <c r="H1543">
        <v>-0.616121758737316</v>
      </c>
      <c r="I1543">
        <v>-0.616121758737316</v>
      </c>
    </row>
    <row r="1544" spans="1:9">
      <c r="A1544" s="1" t="s">
        <v>1556</v>
      </c>
      <c r="B1544">
        <f>HYPERLINK("https://www.suredividend.com/sure-analysis-research-database/","Skywest Inc.")</f>
        <v>0</v>
      </c>
      <c r="C1544">
        <v>-0.133995037220843</v>
      </c>
      <c r="D1544">
        <v>-0.17688679245283</v>
      </c>
      <c r="E1544">
        <v>-0.37049062049062</v>
      </c>
      <c r="F1544">
        <v>-0.555979643765903</v>
      </c>
      <c r="G1544">
        <v>-0.6608357628765791</v>
      </c>
      <c r="H1544">
        <v>-0.451085246932997</v>
      </c>
      <c r="I1544">
        <v>-0.6098457493309241</v>
      </c>
    </row>
    <row r="1545" spans="1:9">
      <c r="A1545" s="1" t="s">
        <v>1557</v>
      </c>
      <c r="B1545">
        <f>HYPERLINK("https://www.suredividend.com/sure-analysis-research-database/","Silicon Laboratories Inc")</f>
        <v>0</v>
      </c>
      <c r="C1545">
        <v>-0.042162162162162</v>
      </c>
      <c r="D1545">
        <v>-0.03695652173913001</v>
      </c>
      <c r="E1545">
        <v>-0.094201840221994</v>
      </c>
      <c r="F1545">
        <v>-0.399089235539191</v>
      </c>
      <c r="G1545">
        <v>-0.106597522327859</v>
      </c>
      <c r="H1545">
        <v>0.163056727613689</v>
      </c>
      <c r="I1545">
        <v>0.470539419087137</v>
      </c>
    </row>
    <row r="1546" spans="1:9">
      <c r="A1546" s="1" t="s">
        <v>1558</v>
      </c>
      <c r="B1546">
        <f>HYPERLINK("https://www.suredividend.com/sure-analysis-research-database/","U.S. Silica Holdings Inc")</f>
        <v>0</v>
      </c>
      <c r="C1546">
        <v>-0.138563049853372</v>
      </c>
      <c r="D1546">
        <v>0.123326959847036</v>
      </c>
      <c r="E1546">
        <v>-0.389293139293139</v>
      </c>
      <c r="F1546">
        <v>0.25</v>
      </c>
      <c r="G1546">
        <v>0.170318725099601</v>
      </c>
      <c r="H1546">
        <v>2.852459016393442</v>
      </c>
      <c r="I1546">
        <v>-0.5878219811906501</v>
      </c>
    </row>
    <row r="1547" spans="1:9">
      <c r="A1547" s="1" t="s">
        <v>1559</v>
      </c>
      <c r="B1547">
        <f>HYPERLINK("https://www.suredividend.com/sure-analysis-research-database/","Solid Biosciences Inc")</f>
        <v>0</v>
      </c>
      <c r="C1547">
        <v>-0.318059701492537</v>
      </c>
      <c r="D1547">
        <v>-0.304142552543405</v>
      </c>
      <c r="E1547">
        <v>-0.5920535714285711</v>
      </c>
      <c r="F1547">
        <v>-0.7389142857142851</v>
      </c>
      <c r="G1547">
        <v>-0.803060344827586</v>
      </c>
      <c r="H1547">
        <v>-0.884621212121212</v>
      </c>
      <c r="I1547">
        <v>-0.9798010610079571</v>
      </c>
    </row>
    <row r="1548" spans="1:9">
      <c r="A1548" s="1" t="s">
        <v>1560</v>
      </c>
      <c r="B1548">
        <f>HYPERLINK("https://www.suredividend.com/sure-analysis-research-database/","Simulations Plus Inc.")</f>
        <v>0</v>
      </c>
      <c r="C1548">
        <v>-0.193117273638489</v>
      </c>
      <c r="D1548">
        <v>-0.10650365445555</v>
      </c>
      <c r="E1548">
        <v>-0.012136607394863</v>
      </c>
      <c r="F1548">
        <v>0.024948911707972</v>
      </c>
      <c r="G1548">
        <v>0.308815400123565</v>
      </c>
      <c r="H1548">
        <v>-0.346512228880371</v>
      </c>
      <c r="I1548">
        <v>1.938671209540034</v>
      </c>
    </row>
    <row r="1549" spans="1:9">
      <c r="A1549" s="1" t="s">
        <v>1561</v>
      </c>
      <c r="B1549">
        <f>HYPERLINK("https://www.suredividend.com/sure-analysis-research-database/","SelectQuote Inc")</f>
        <v>0</v>
      </c>
      <c r="C1549">
        <v>-0.5420979020979021</v>
      </c>
      <c r="D1549">
        <v>-0.721361702127659</v>
      </c>
      <c r="E1549">
        <v>-0.7140611353711791</v>
      </c>
      <c r="F1549">
        <v>-0.927726269315673</v>
      </c>
      <c r="G1549">
        <v>-0.9476159999999999</v>
      </c>
      <c r="H1549">
        <v>-0.9666258919469921</v>
      </c>
      <c r="I1549">
        <v>-0.975748148148148</v>
      </c>
    </row>
    <row r="1550" spans="1:9">
      <c r="A1550" s="1" t="s">
        <v>1562</v>
      </c>
      <c r="B1550">
        <f>HYPERLINK("https://www.suredividend.com/sure-analysis-research-database/","SM Energy Co")</f>
        <v>0</v>
      </c>
      <c r="C1550">
        <v>-0.041793643883325</v>
      </c>
      <c r="D1550">
        <v>0.326303103344381</v>
      </c>
      <c r="E1550">
        <v>0.08933432318733001</v>
      </c>
      <c r="F1550">
        <v>0.4935855893759311</v>
      </c>
      <c r="G1550">
        <v>0.4522157671968141</v>
      </c>
      <c r="H1550">
        <v>24.94906861589248</v>
      </c>
      <c r="I1550">
        <v>1.53672254525128</v>
      </c>
    </row>
    <row r="1551" spans="1:9">
      <c r="A1551" s="1" t="s">
        <v>1563</v>
      </c>
      <c r="B1551">
        <f>HYPERLINK("https://www.suredividend.com/sure-analysis-research-database/","Southern Missouri Bancorp, Inc.")</f>
        <v>0</v>
      </c>
      <c r="C1551">
        <v>-0.024613623354321</v>
      </c>
      <c r="D1551">
        <v>0.126172269990549</v>
      </c>
      <c r="E1551">
        <v>0.115933044017358</v>
      </c>
      <c r="F1551">
        <v>-0.008093198880030001</v>
      </c>
      <c r="G1551">
        <v>0.09957238851557701</v>
      </c>
      <c r="H1551">
        <v>1.313509501590764</v>
      </c>
      <c r="I1551">
        <v>0.5043302463958751</v>
      </c>
    </row>
    <row r="1552" spans="1:9">
      <c r="A1552" s="1" t="s">
        <v>1564</v>
      </c>
      <c r="B1552">
        <f>HYPERLINK("https://www.suredividend.com/sure-analysis-research-database/","SmartFinancial Inc")</f>
        <v>0</v>
      </c>
      <c r="C1552">
        <v>-0.017460317460317</v>
      </c>
      <c r="D1552">
        <v>0.051969681520002</v>
      </c>
      <c r="E1552">
        <v>-0.009235398626694001</v>
      </c>
      <c r="F1552">
        <v>-0.08756232472610201</v>
      </c>
      <c r="G1552">
        <v>-0.051184677935445</v>
      </c>
      <c r="H1552">
        <v>0.686728931216066</v>
      </c>
      <c r="I1552">
        <v>0.024762330465157</v>
      </c>
    </row>
    <row r="1553" spans="1:9">
      <c r="A1553" s="1" t="s">
        <v>1565</v>
      </c>
      <c r="B1553">
        <f>HYPERLINK("https://www.suredividend.com/sure-analysis-research-database/","Super Micro Computer Inc")</f>
        <v>0</v>
      </c>
      <c r="C1553">
        <v>-0.158941387559808</v>
      </c>
      <c r="D1553">
        <v>0.3902619871478</v>
      </c>
      <c r="E1553">
        <v>0.5930331350892091</v>
      </c>
      <c r="F1553">
        <v>0.279863481228668</v>
      </c>
      <c r="G1553">
        <v>0.5252169197396961</v>
      </c>
      <c r="H1553">
        <v>1.029953085528689</v>
      </c>
      <c r="I1553">
        <v>1.494456762749445</v>
      </c>
    </row>
    <row r="1554" spans="1:9">
      <c r="A1554" s="1" t="s">
        <v>1566</v>
      </c>
      <c r="B1554">
        <f>HYPERLINK("https://www.suredividend.com/sure-analysis-research-database/","Sharps Compliance Corp.")</f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>
      <c r="A1555" s="1" t="s">
        <v>1567</v>
      </c>
      <c r="B1555">
        <f>HYPERLINK("https://www.suredividend.com/sure-analysis-research-database/","Summit Financial Group Inc")</f>
        <v>0</v>
      </c>
      <c r="C1555">
        <v>-0.061963734879297</v>
      </c>
      <c r="D1555">
        <v>-0.028098957197085</v>
      </c>
      <c r="E1555">
        <v>0.096493926826567</v>
      </c>
      <c r="F1555">
        <v>-0.005454558984395</v>
      </c>
      <c r="G1555">
        <v>0.09769619317481801</v>
      </c>
      <c r="H1555">
        <v>0.620530355389036</v>
      </c>
      <c r="I1555">
        <v>0.107332087774606</v>
      </c>
    </row>
    <row r="1556" spans="1:9">
      <c r="A1556" s="1" t="s">
        <v>1568</v>
      </c>
      <c r="B1556">
        <f>HYPERLINK("https://www.suredividend.com/sure-analysis-research-database/","Summit Therapeutics Inc")</f>
        <v>0</v>
      </c>
      <c r="C1556">
        <v>-0.124031007751938</v>
      </c>
      <c r="D1556">
        <v>0.107843137254901</v>
      </c>
      <c r="E1556">
        <v>-0.488687782805429</v>
      </c>
      <c r="F1556">
        <v>-0.57992565055762</v>
      </c>
      <c r="G1556">
        <v>-0.773092369477911</v>
      </c>
      <c r="H1556">
        <v>-0.686111111111111</v>
      </c>
      <c r="I1556">
        <v>-0.671511627906976</v>
      </c>
    </row>
    <row r="1557" spans="1:9">
      <c r="A1557" s="1" t="s">
        <v>1569</v>
      </c>
      <c r="B1557">
        <f>HYPERLINK("https://www.suredividend.com/sure-analysis-research-database/","Standard Motor Products, Inc.")</f>
        <v>0</v>
      </c>
      <c r="C1557">
        <v>-0.055883178882336</v>
      </c>
      <c r="D1557">
        <v>-0.247558257164086</v>
      </c>
      <c r="E1557">
        <v>-0.187074435159393</v>
      </c>
      <c r="F1557">
        <v>-0.345483995312092</v>
      </c>
      <c r="G1557">
        <v>-0.258134700848665</v>
      </c>
      <c r="H1557">
        <v>-0.272157311008783</v>
      </c>
      <c r="I1557">
        <v>-0.228164422558169</v>
      </c>
    </row>
    <row r="1558" spans="1:9">
      <c r="A1558" s="1" t="s">
        <v>1570</v>
      </c>
      <c r="B1558">
        <f>HYPERLINK("https://www.suredividend.com/sure-analysis-research-database/","Simply Good Foods Co")</f>
        <v>0</v>
      </c>
      <c r="C1558">
        <v>0.08672798948751601</v>
      </c>
      <c r="D1558">
        <v>-0.106670267350796</v>
      </c>
      <c r="E1558">
        <v>-0.208044050754129</v>
      </c>
      <c r="F1558">
        <v>-0.204233822468126</v>
      </c>
      <c r="G1558">
        <v>-0.06790645252183701</v>
      </c>
      <c r="H1558">
        <v>0.5181275814593851</v>
      </c>
      <c r="I1558">
        <v>1.700408163265306</v>
      </c>
    </row>
    <row r="1559" spans="1:9">
      <c r="A1559" s="1" t="s">
        <v>1571</v>
      </c>
      <c r="B1559">
        <f>HYPERLINK("https://www.suredividend.com/sure-analysis-research-database/","Smith Micro Software, Inc.")</f>
        <v>0</v>
      </c>
      <c r="C1559">
        <v>-0.11284046692607</v>
      </c>
      <c r="D1559">
        <v>-0.146067415730337</v>
      </c>
      <c r="E1559">
        <v>-0.377049180327868</v>
      </c>
      <c r="F1559">
        <v>-0.536585365853658</v>
      </c>
      <c r="G1559">
        <v>-0.538461538461538</v>
      </c>
      <c r="H1559">
        <v>-0.4093264248704661</v>
      </c>
      <c r="I1559">
        <v>0.424999999999999</v>
      </c>
    </row>
    <row r="1560" spans="1:9">
      <c r="A1560" s="1" t="s">
        <v>1572</v>
      </c>
      <c r="B1560">
        <f>HYPERLINK("https://www.suredividend.com/sure-analysis-research-database/","Semtech Corp.")</f>
        <v>0</v>
      </c>
      <c r="C1560">
        <v>-0.208788052843193</v>
      </c>
      <c r="D1560">
        <v>-0.4826291079812201</v>
      </c>
      <c r="E1560">
        <v>-0.5462779973649531</v>
      </c>
      <c r="F1560">
        <v>-0.6902057798268301</v>
      </c>
      <c r="G1560">
        <v>-0.6443325587399941</v>
      </c>
      <c r="H1560">
        <v>-0.524508111839834</v>
      </c>
      <c r="I1560">
        <v>-0.31125</v>
      </c>
    </row>
    <row r="1561" spans="1:9">
      <c r="A1561" s="1" t="s">
        <v>1573</v>
      </c>
      <c r="B1561">
        <f>HYPERLINK("https://www.suredividend.com/sure-analysis-research-database/","Sleep Number Corp")</f>
        <v>0</v>
      </c>
      <c r="C1561">
        <v>-0.187062937062936</v>
      </c>
      <c r="D1561">
        <v>0.142506142506142</v>
      </c>
      <c r="E1561">
        <v>-0.283375072240416</v>
      </c>
      <c r="F1561">
        <v>-0.514360313315926</v>
      </c>
      <c r="G1561">
        <v>-0.593842122502456</v>
      </c>
      <c r="H1561">
        <v>-0.329729729729729</v>
      </c>
      <c r="I1561">
        <v>0.19652621421679</v>
      </c>
    </row>
    <row r="1562" spans="1:9">
      <c r="A1562" s="1" t="s">
        <v>1574</v>
      </c>
      <c r="B1562">
        <f>HYPERLINK("https://www.suredividend.com/sure-analysis-research-database/","Sun Country Airlines Holdings Inc")</f>
        <v>0</v>
      </c>
      <c r="C1562">
        <v>-0.276376737004631</v>
      </c>
      <c r="D1562">
        <v>-0.260389268805891</v>
      </c>
      <c r="E1562">
        <v>-0.413922467694872</v>
      </c>
      <c r="F1562">
        <v>-0.484036697247706</v>
      </c>
      <c r="G1562">
        <v>-0.589009061677872</v>
      </c>
      <c r="H1562">
        <v>-0.6135239142385921</v>
      </c>
      <c r="I1562">
        <v>-0.6135239142385921</v>
      </c>
    </row>
    <row r="1563" spans="1:9">
      <c r="A1563" s="1" t="s">
        <v>1575</v>
      </c>
      <c r="B1563">
        <f>HYPERLINK("https://www.suredividend.com/sure-analysis-research-database/","Syndax Pharmaceuticals Inc")</f>
        <v>0</v>
      </c>
      <c r="C1563">
        <v>-0.043549043549043</v>
      </c>
      <c r="D1563">
        <v>0.209469891919711</v>
      </c>
      <c r="E1563">
        <v>0.342090234151913</v>
      </c>
      <c r="F1563">
        <v>0.07354956601187701</v>
      </c>
      <c r="G1563">
        <v>0.304830649639089</v>
      </c>
      <c r="H1563">
        <v>0.4845230574857861</v>
      </c>
      <c r="I1563">
        <v>0.9949066213921901</v>
      </c>
    </row>
    <row r="1564" spans="1:9">
      <c r="A1564" s="1" t="s">
        <v>1576</v>
      </c>
      <c r="B1564">
        <f>HYPERLINK("https://www.suredividend.com/sure-analysis-research-database/","StoneX Group Inc")</f>
        <v>0</v>
      </c>
      <c r="C1564">
        <v>-0.022347008938803</v>
      </c>
      <c r="D1564">
        <v>0.142034805890227</v>
      </c>
      <c r="E1564">
        <v>0.173775454045129</v>
      </c>
      <c r="F1564">
        <v>0.392816326530612</v>
      </c>
      <c r="G1564">
        <v>0.229250720461094</v>
      </c>
      <c r="H1564">
        <v>0.5757295899519761</v>
      </c>
      <c r="I1564">
        <v>1.171290404683125</v>
      </c>
    </row>
    <row r="1565" spans="1:9">
      <c r="A1565" s="1" t="s">
        <v>1577</v>
      </c>
      <c r="B1565">
        <f>HYPERLINK("https://www.suredividend.com/sure-analysis-research-database/","Snap One Holdings Corp")</f>
        <v>0</v>
      </c>
      <c r="C1565">
        <v>-0.144046627810158</v>
      </c>
      <c r="D1565">
        <v>-0.007722007722007001</v>
      </c>
      <c r="E1565">
        <v>-0.267284390591589</v>
      </c>
      <c r="F1565">
        <v>-0.5123339658444021</v>
      </c>
      <c r="G1565">
        <v>-0.30634278002699</v>
      </c>
      <c r="H1565">
        <v>-0.378851963746223</v>
      </c>
      <c r="I1565">
        <v>-0.378851963746223</v>
      </c>
    </row>
    <row r="1566" spans="1:9">
      <c r="A1566" s="1" t="s">
        <v>1578</v>
      </c>
      <c r="B1566">
        <f>HYPERLINK("https://www.suredividend.com/sure-analysis-research-database/","Sensei Biotherapeutics Inc")</f>
        <v>0</v>
      </c>
      <c r="C1566">
        <v>-0.23</v>
      </c>
      <c r="D1566">
        <v>-0.309417040358744</v>
      </c>
      <c r="E1566">
        <v>-0.2803738317757</v>
      </c>
      <c r="F1566">
        <v>-0.734482758620689</v>
      </c>
      <c r="G1566">
        <v>-0.805555555555555</v>
      </c>
      <c r="H1566">
        <v>-0.9185185185185181</v>
      </c>
      <c r="I1566">
        <v>-0.9185185185185181</v>
      </c>
    </row>
    <row r="1567" spans="1:9">
      <c r="A1567" s="1" t="s">
        <v>1579</v>
      </c>
      <c r="B1567">
        <f>HYPERLINK("https://www.suredividend.com/sure-analysis-research-database/","Solaris Oilfield Infrastructure Inc")</f>
        <v>0</v>
      </c>
      <c r="C1567">
        <v>-0.028625954198473</v>
      </c>
      <c r="D1567">
        <v>0.02546538802482</v>
      </c>
      <c r="E1567">
        <v>-0.060452238117212</v>
      </c>
      <c r="F1567">
        <v>0.598869169153447</v>
      </c>
      <c r="G1567">
        <v>0.261430943471041</v>
      </c>
      <c r="H1567">
        <v>0.7177955519557221</v>
      </c>
      <c r="I1567">
        <v>-0.278617894244533</v>
      </c>
    </row>
    <row r="1568" spans="1:9">
      <c r="A1568" s="1" t="s">
        <v>1580</v>
      </c>
      <c r="B1568">
        <f>HYPERLINK("https://www.suredividend.com/sure-analysis-research-database/","Sonos Inc")</f>
        <v>0</v>
      </c>
      <c r="C1568">
        <v>-0.105427323767935</v>
      </c>
      <c r="D1568">
        <v>-0.276853252647503</v>
      </c>
      <c r="E1568">
        <v>-0.463122426057656</v>
      </c>
      <c r="F1568">
        <v>-0.5187919463087241</v>
      </c>
      <c r="G1568">
        <v>-0.529990167158308</v>
      </c>
      <c r="H1568">
        <v>0.038377986965966</v>
      </c>
      <c r="I1568">
        <v>-0.279758915118031</v>
      </c>
    </row>
    <row r="1569" spans="1:9">
      <c r="A1569" s="1" t="s">
        <v>1581</v>
      </c>
      <c r="B1569">
        <f>HYPERLINK("https://www.suredividend.com/sure-analysis-research-database/","Sovos Brands Inc")</f>
        <v>0</v>
      </c>
      <c r="C1569">
        <v>-0.113534316869788</v>
      </c>
      <c r="D1569">
        <v>-0.05536568694463401</v>
      </c>
      <c r="E1569">
        <v>-0.06936026936026901</v>
      </c>
      <c r="F1569">
        <v>-0.08172757475083001</v>
      </c>
      <c r="G1569">
        <v>0.036759189797449</v>
      </c>
      <c r="H1569">
        <v>0.022189349112426</v>
      </c>
      <c r="I1569">
        <v>0.022189349112426</v>
      </c>
    </row>
    <row r="1570" spans="1:9">
      <c r="A1570" s="1" t="s">
        <v>1582</v>
      </c>
      <c r="B1570">
        <f>HYPERLINK("https://www.suredividend.com/sure-analysis-research-database/","SP Plus Corp")</f>
        <v>0</v>
      </c>
      <c r="C1570">
        <v>0.005151515151515001</v>
      </c>
      <c r="D1570">
        <v>0.041771356783919</v>
      </c>
      <c r="E1570">
        <v>0.100896116827082</v>
      </c>
      <c r="F1570">
        <v>0.175407512402551</v>
      </c>
      <c r="G1570">
        <v>0.05569700827498401</v>
      </c>
      <c r="H1570">
        <v>0.7578166401695811</v>
      </c>
      <c r="I1570">
        <v>-0.185512584407612</v>
      </c>
    </row>
    <row r="1571" spans="1:9">
      <c r="A1571" s="1" t="s">
        <v>1583</v>
      </c>
      <c r="B1571">
        <f>HYPERLINK("https://www.suredividend.com/sure-analysis-research-database/","South Plains Financial Inc")</f>
        <v>0</v>
      </c>
      <c r="C1571">
        <v>0.020267824828085</v>
      </c>
      <c r="D1571">
        <v>0.203641238909336</v>
      </c>
      <c r="E1571">
        <v>0.105199810245935</v>
      </c>
      <c r="F1571">
        <v>0.026920695056646</v>
      </c>
      <c r="G1571">
        <v>0.148540184646474</v>
      </c>
      <c r="H1571">
        <v>1.037158817450624</v>
      </c>
      <c r="I1571">
        <v>0.65519751984593</v>
      </c>
    </row>
    <row r="1572" spans="1:9">
      <c r="A1572" s="1" t="s">
        <v>1584</v>
      </c>
      <c r="B1572">
        <f>HYPERLINK("https://www.suredividend.com/sure-analysis-research-database/","SeaSpine Holdings Corp")</f>
        <v>0</v>
      </c>
      <c r="C1572">
        <v>-0.205420827389443</v>
      </c>
      <c r="D1572">
        <v>-0.071666666666666</v>
      </c>
      <c r="E1572">
        <v>-0.4950135992747051</v>
      </c>
      <c r="F1572">
        <v>-0.5910425844346541</v>
      </c>
      <c r="G1572">
        <v>-0.639014906027219</v>
      </c>
      <c r="H1572">
        <v>-0.637841352405721</v>
      </c>
      <c r="I1572">
        <v>-0.5040071237756011</v>
      </c>
    </row>
    <row r="1573" spans="1:9">
      <c r="A1573" s="1" t="s">
        <v>1585</v>
      </c>
      <c r="B1573">
        <f>HYPERLINK("https://www.suredividend.com/sure-analysis-research-database/","Sapiens International Corp NV")</f>
        <v>0</v>
      </c>
      <c r="C1573">
        <v>-0.137636449928808</v>
      </c>
      <c r="D1573">
        <v>-0.279854147675478</v>
      </c>
      <c r="E1573">
        <v>-0.25864270821858</v>
      </c>
      <c r="F1573">
        <v>-0.456624131630337</v>
      </c>
      <c r="G1573">
        <v>-0.3892560150047391</v>
      </c>
      <c r="H1573">
        <v>-0.407038521283955</v>
      </c>
      <c r="I1573">
        <v>0.405498228623586</v>
      </c>
    </row>
    <row r="1574" spans="1:9">
      <c r="A1574" s="1" t="s">
        <v>1586</v>
      </c>
      <c r="B1574">
        <f>HYPERLINK("https://www.suredividend.com/sure-analysis-research-database/","SiriusPoint Ltd")</f>
        <v>0</v>
      </c>
      <c r="C1574">
        <v>0.026315789473684</v>
      </c>
      <c r="D1574">
        <v>-0.019342359767891</v>
      </c>
      <c r="E1574">
        <v>-0.217592592592592</v>
      </c>
      <c r="F1574">
        <v>-0.3763837638376381</v>
      </c>
      <c r="G1574">
        <v>-0.461211477151966</v>
      </c>
      <c r="H1574">
        <v>-0.340702210663198</v>
      </c>
      <c r="I1574">
        <v>-0.6880000000000001</v>
      </c>
    </row>
    <row r="1575" spans="1:9">
      <c r="A1575" s="1" t="s">
        <v>1587</v>
      </c>
      <c r="B1575">
        <f>HYPERLINK("https://www.suredividend.com/sure-analysis-research-database/","Spectrum Pharmaceuticals, Inc.")</f>
        <v>0</v>
      </c>
      <c r="C1575">
        <v>-0.683320463320463</v>
      </c>
      <c r="D1575">
        <v>-0.5093910754874981</v>
      </c>
      <c r="E1575">
        <v>-0.6402631578947361</v>
      </c>
      <c r="F1575">
        <v>-0.677086614173228</v>
      </c>
      <c r="G1575">
        <v>-0.7918274111675121</v>
      </c>
      <c r="H1575">
        <v>-0.9090687361419061</v>
      </c>
      <c r="I1575">
        <v>-0.970811387900356</v>
      </c>
    </row>
    <row r="1576" spans="1:9">
      <c r="A1576" s="1" t="s">
        <v>1588</v>
      </c>
      <c r="B1576">
        <f>HYPERLINK("https://www.suredividend.com/sure-analysis-research-database/","Spruce Biosciences Inc")</f>
        <v>0</v>
      </c>
      <c r="C1576">
        <v>-0.35</v>
      </c>
      <c r="D1576">
        <v>-0.384210526315789</v>
      </c>
      <c r="E1576">
        <v>-0.417910447761194</v>
      </c>
      <c r="F1576">
        <v>-0.737668161434977</v>
      </c>
      <c r="G1576">
        <v>-0.774131274131274</v>
      </c>
      <c r="H1576">
        <v>-0.9311764705882351</v>
      </c>
      <c r="I1576">
        <v>-0.9311764705882351</v>
      </c>
    </row>
    <row r="1577" spans="1:9">
      <c r="A1577" s="1" t="s">
        <v>1589</v>
      </c>
      <c r="B1577">
        <f>HYPERLINK("https://www.suredividend.com/sure-analysis-research-database/","Spero Therapeutics Inc")</f>
        <v>0</v>
      </c>
      <c r="C1577">
        <v>0.7499999999999991</v>
      </c>
      <c r="D1577">
        <v>1.376910016977928</v>
      </c>
      <c r="E1577">
        <v>-0.7336956521739131</v>
      </c>
      <c r="F1577">
        <v>-0.8775765146783261</v>
      </c>
      <c r="G1577">
        <v>-0.885245901639344</v>
      </c>
      <c r="H1577">
        <v>-0.85274229902329</v>
      </c>
      <c r="I1577">
        <v>0.020833333333333</v>
      </c>
    </row>
    <row r="1578" spans="1:9">
      <c r="A1578" s="1" t="s">
        <v>1590</v>
      </c>
      <c r="B1578">
        <f>HYPERLINK("https://www.suredividend.com/sure-analysis-research-database/","SPS Commerce Inc.")</f>
        <v>0</v>
      </c>
      <c r="C1578">
        <v>-0.007902929671908001</v>
      </c>
      <c r="D1578">
        <v>0.066689554544674</v>
      </c>
      <c r="E1578">
        <v>0.029233954451345</v>
      </c>
      <c r="F1578">
        <v>-0.126940639269406</v>
      </c>
      <c r="G1578">
        <v>-0.22061959112003</v>
      </c>
      <c r="H1578">
        <v>0.447135537959944</v>
      </c>
      <c r="I1578">
        <v>3.340143181421337</v>
      </c>
    </row>
    <row r="1579" spans="1:9">
      <c r="A1579" s="1" t="s">
        <v>1591</v>
      </c>
      <c r="B1579">
        <f>HYPERLINK("https://www.suredividend.com/sure-analysis-research-database/","Sprout Social Inc")</f>
        <v>0</v>
      </c>
      <c r="C1579">
        <v>-0.165183285563433</v>
      </c>
      <c r="D1579">
        <v>-0.149008150084576</v>
      </c>
      <c r="E1579">
        <v>-0.235635359116022</v>
      </c>
      <c r="F1579">
        <v>-0.38978939243577</v>
      </c>
      <c r="G1579">
        <v>-0.506069260978222</v>
      </c>
      <c r="H1579">
        <v>0.178700745473908</v>
      </c>
      <c r="I1579">
        <v>2.333734939759036</v>
      </c>
    </row>
    <row r="1580" spans="1:9">
      <c r="A1580" s="1" t="s">
        <v>1592</v>
      </c>
      <c r="B1580">
        <f>HYPERLINK("https://www.suredividend.com/sure-analysis-SPTN/","SpartanNash Co")</f>
        <v>0</v>
      </c>
      <c r="C1580">
        <v>-0.002891741620013</v>
      </c>
      <c r="D1580">
        <v>0.031772243873439</v>
      </c>
      <c r="E1580">
        <v>-0.073588066960247</v>
      </c>
      <c r="F1580">
        <v>0.238169221744851</v>
      </c>
      <c r="G1580">
        <v>0.408736511257716</v>
      </c>
      <c r="H1580">
        <v>0.5552424714614991</v>
      </c>
      <c r="I1580">
        <v>0.474322066693724</v>
      </c>
    </row>
    <row r="1581" spans="1:9">
      <c r="A1581" s="1" t="s">
        <v>1593</v>
      </c>
      <c r="B1581">
        <f>HYPERLINK("https://www.suredividend.com/sure-analysis-research-database/","Sportsman`s Warehouse Holdings Inc")</f>
        <v>0</v>
      </c>
      <c r="C1581">
        <v>-0.08648648648648601</v>
      </c>
      <c r="D1581">
        <v>-0.157527417746759</v>
      </c>
      <c r="E1581">
        <v>-0.226898444647758</v>
      </c>
      <c r="F1581">
        <v>-0.283898305084745</v>
      </c>
      <c r="G1581">
        <v>-0.5236753100338211</v>
      </c>
      <c r="H1581">
        <v>-0.492797118847539</v>
      </c>
      <c r="I1581">
        <v>0.938073394495412</v>
      </c>
    </row>
    <row r="1582" spans="1:9">
      <c r="A1582" s="1" t="s">
        <v>1594</v>
      </c>
      <c r="B1582">
        <f>HYPERLINK("https://www.suredividend.com/sure-analysis-research-database/","Sunpower Corp")</f>
        <v>0</v>
      </c>
      <c r="C1582">
        <v>-0.236757909704941</v>
      </c>
      <c r="D1582">
        <v>0.194104560622914</v>
      </c>
      <c r="E1582">
        <v>0.01035294117647</v>
      </c>
      <c r="F1582">
        <v>0.028749401054144</v>
      </c>
      <c r="G1582">
        <v>-0.103923205342237</v>
      </c>
      <c r="H1582">
        <v>0.231784279977051</v>
      </c>
      <c r="I1582">
        <v>2.770900660390614</v>
      </c>
    </row>
    <row r="1583" spans="1:9">
      <c r="A1583" s="1" t="s">
        <v>1595</v>
      </c>
      <c r="B1583">
        <f>HYPERLINK("https://www.suredividend.com/sure-analysis-research-database/","SPX Technologies Inc")</f>
        <v>0</v>
      </c>
      <c r="C1583">
        <v>-0.030665543386689</v>
      </c>
      <c r="D1583">
        <v>-0.100531582238899</v>
      </c>
      <c r="E1583">
        <v>-0.100531582238899</v>
      </c>
      <c r="F1583">
        <v>-0.100531582238899</v>
      </c>
      <c r="G1583">
        <v>-0.100531582238899</v>
      </c>
      <c r="H1583">
        <v>-0.100531582238899</v>
      </c>
      <c r="I1583">
        <v>-0.100531582238899</v>
      </c>
    </row>
    <row r="1584" spans="1:9">
      <c r="A1584" s="1" t="s">
        <v>1596</v>
      </c>
      <c r="B1584">
        <f>HYPERLINK("https://www.suredividend.com/sure-analysis-research-database/","SQZ Biotechnologies Co")</f>
        <v>0</v>
      </c>
      <c r="C1584">
        <v>0.03678929765886201</v>
      </c>
      <c r="D1584">
        <v>-0.10919540229885</v>
      </c>
      <c r="E1584">
        <v>-0.333333333333333</v>
      </c>
      <c r="F1584">
        <v>-0.652855543113101</v>
      </c>
      <c r="G1584">
        <v>-0.747762408462164</v>
      </c>
      <c r="H1584">
        <v>-0.7660377358490561</v>
      </c>
      <c r="I1584">
        <v>-0.7660377358490561</v>
      </c>
    </row>
    <row r="1585" spans="1:9">
      <c r="A1585" s="1" t="s">
        <v>1597</v>
      </c>
      <c r="B1585">
        <f>HYPERLINK("https://www.suredividend.com/sure-analysis-SR/","Spire Inc.")</f>
        <v>0</v>
      </c>
      <c r="C1585">
        <v>-0.117370892018779</v>
      </c>
      <c r="D1585">
        <v>-0.122331734271927</v>
      </c>
      <c r="E1585">
        <v>-0.168783562172417</v>
      </c>
      <c r="F1585">
        <v>-0.020980124507846</v>
      </c>
      <c r="G1585">
        <v>0.012496266787217</v>
      </c>
      <c r="H1585">
        <v>0.202029732992073</v>
      </c>
      <c r="I1585">
        <v>-0.028111757748552</v>
      </c>
    </row>
    <row r="1586" spans="1:9">
      <c r="A1586" s="1" t="s">
        <v>1598</v>
      </c>
      <c r="B1586">
        <f>HYPERLINK("https://www.suredividend.com/sure-analysis-SRCE/","1st Source Corp.")</f>
        <v>0</v>
      </c>
      <c r="C1586">
        <v>-0.003321569441561</v>
      </c>
      <c r="D1586">
        <v>0.07473204452045601</v>
      </c>
      <c r="E1586">
        <v>0.112674195738881</v>
      </c>
      <c r="F1586">
        <v>-0.012397994762685</v>
      </c>
      <c r="G1586">
        <v>0.010485816155144</v>
      </c>
      <c r="H1586">
        <v>0.5303894348620221</v>
      </c>
      <c r="I1586">
        <v>0.04358675616457301</v>
      </c>
    </row>
    <row r="1587" spans="1:9">
      <c r="A1587" s="1" t="s">
        <v>1599</v>
      </c>
      <c r="B1587">
        <f>HYPERLINK("https://www.suredividend.com/sure-analysis-research-database/","Surmodics, Inc.")</f>
        <v>0</v>
      </c>
      <c r="C1587">
        <v>-0.08586165048543601</v>
      </c>
      <c r="D1587">
        <v>-0.180581996192548</v>
      </c>
      <c r="E1587">
        <v>-0.292390793799906</v>
      </c>
      <c r="F1587">
        <v>-0.374247144340602</v>
      </c>
      <c r="G1587">
        <v>-0.449579831932773</v>
      </c>
      <c r="H1587">
        <v>-0.289219155461193</v>
      </c>
      <c r="I1587">
        <v>-0.032744783306581</v>
      </c>
    </row>
    <row r="1588" spans="1:9">
      <c r="A1588" s="1" t="s">
        <v>1600</v>
      </c>
      <c r="B1588">
        <f>HYPERLINK("https://www.suredividend.com/sure-analysis-research-database/","Seritage Growth Properties")</f>
        <v>0</v>
      </c>
      <c r="C1588">
        <v>-0.252573238321456</v>
      </c>
      <c r="D1588">
        <v>-0.138686131386861</v>
      </c>
      <c r="E1588">
        <v>-0.215295095594347</v>
      </c>
      <c r="F1588">
        <v>-0.288620949510173</v>
      </c>
      <c r="G1588">
        <v>-0.36388140161725</v>
      </c>
      <c r="H1588">
        <v>-0.330496453900709</v>
      </c>
      <c r="I1588">
        <v>-0.784516211502816</v>
      </c>
    </row>
    <row r="1589" spans="1:9">
      <c r="A1589" s="1" t="s">
        <v>1601</v>
      </c>
      <c r="B1589">
        <f>HYPERLINK("https://www.suredividend.com/sure-analysis-research-database/","Stoneridge Inc.")</f>
        <v>0</v>
      </c>
      <c r="C1589">
        <v>-0.114832535885167</v>
      </c>
      <c r="D1589">
        <v>-0.019434628975265</v>
      </c>
      <c r="E1589">
        <v>-0.133263925039042</v>
      </c>
      <c r="F1589">
        <v>-0.156534954407294</v>
      </c>
      <c r="G1589">
        <v>-0.195652173913043</v>
      </c>
      <c r="H1589">
        <v>-0.277029960920538</v>
      </c>
      <c r="I1589">
        <v>-0.232011070110701</v>
      </c>
    </row>
    <row r="1590" spans="1:9">
      <c r="A1590" s="1" t="s">
        <v>1602</v>
      </c>
      <c r="B1590">
        <f>HYPERLINK("https://www.suredividend.com/sure-analysis-research-database/","Sorrento Therapeutics Inc")</f>
        <v>0</v>
      </c>
      <c r="C1590">
        <v>-0.4303797468354431</v>
      </c>
      <c r="D1590">
        <v>-0.509090909090909</v>
      </c>
      <c r="E1590">
        <v>-0.314720812182741</v>
      </c>
      <c r="F1590">
        <v>-0.7096774193548381</v>
      </c>
      <c r="G1590">
        <v>-0.7919876733436051</v>
      </c>
      <c r="H1590">
        <v>-0.88</v>
      </c>
      <c r="I1590">
        <v>-0.46</v>
      </c>
    </row>
    <row r="1591" spans="1:9">
      <c r="A1591" s="1" t="s">
        <v>1603</v>
      </c>
      <c r="B1591">
        <f>HYPERLINK("https://www.suredividend.com/sure-analysis-research-database/","Scholar Rock Holding Corp")</f>
        <v>0</v>
      </c>
      <c r="C1591">
        <v>-0.169934640522875</v>
      </c>
      <c r="D1591">
        <v>-0.09069212410501201</v>
      </c>
      <c r="E1591">
        <v>-0.396196513470681</v>
      </c>
      <c r="F1591">
        <v>-0.693236714975845</v>
      </c>
      <c r="G1591">
        <v>-0.7230098146128681</v>
      </c>
      <c r="H1591">
        <v>-0.4868686868686861</v>
      </c>
      <c r="I1591">
        <v>-0.508387096774193</v>
      </c>
    </row>
    <row r="1592" spans="1:9">
      <c r="A1592" s="1" t="s">
        <v>1604</v>
      </c>
      <c r="B1592">
        <f>HYPERLINK("https://www.suredividend.com/sure-analysis-research-database/","Startek, Inc.")</f>
        <v>0</v>
      </c>
      <c r="C1592">
        <v>-0.08533333333333301</v>
      </c>
      <c r="D1592">
        <v>0.304182509505703</v>
      </c>
      <c r="E1592">
        <v>-0.223981900452488</v>
      </c>
      <c r="F1592">
        <v>-0.342911877394635</v>
      </c>
      <c r="G1592">
        <v>-0.403478260869565</v>
      </c>
      <c r="H1592">
        <v>-0.309859154929577</v>
      </c>
      <c r="I1592">
        <v>-0.71345029239766</v>
      </c>
    </row>
    <row r="1593" spans="1:9">
      <c r="A1593" s="1" t="s">
        <v>1605</v>
      </c>
      <c r="B1593">
        <f>HYPERLINK("https://www.suredividend.com/sure-analysis-research-database/","SouthState Corporation")</f>
        <v>0</v>
      </c>
      <c r="C1593">
        <v>-0.002918997810751</v>
      </c>
      <c r="D1593">
        <v>0.07852668886517901</v>
      </c>
      <c r="E1593">
        <v>0.07720588718377201</v>
      </c>
      <c r="F1593">
        <v>0.042138073760697</v>
      </c>
      <c r="G1593">
        <v>0.076129818168452</v>
      </c>
      <c r="H1593">
        <v>0.5776063797031831</v>
      </c>
      <c r="I1593">
        <v>-0.009185400048344</v>
      </c>
    </row>
    <row r="1594" spans="1:9">
      <c r="A1594" s="1" t="s">
        <v>1606</v>
      </c>
      <c r="B1594">
        <f>HYPERLINK("https://www.suredividend.com/sure-analysis-research-database/","Simpson Manufacturing Co., Inc.")</f>
        <v>0</v>
      </c>
      <c r="C1594">
        <v>-0.12785507133866</v>
      </c>
      <c r="D1594">
        <v>-0.240609250777593</v>
      </c>
      <c r="E1594">
        <v>-0.229200972320238</v>
      </c>
      <c r="F1594">
        <v>-0.428954421645706</v>
      </c>
      <c r="G1594">
        <v>-0.298885027486488</v>
      </c>
      <c r="H1594">
        <v>-0.158344472996706</v>
      </c>
      <c r="I1594">
        <v>0.685105544091523</v>
      </c>
    </row>
    <row r="1595" spans="1:9">
      <c r="A1595" s="1" t="s">
        <v>1607</v>
      </c>
      <c r="B1595">
        <f>HYPERLINK("https://www.suredividend.com/sure-analysis-research-database/","E.W. Scripps Co.")</f>
        <v>0</v>
      </c>
      <c r="C1595">
        <v>-0.145790554414784</v>
      </c>
      <c r="D1595">
        <v>-0.026521060842433</v>
      </c>
      <c r="E1595">
        <v>-0.34384858044164</v>
      </c>
      <c r="F1595">
        <v>-0.355038759689922</v>
      </c>
      <c r="G1595">
        <v>-0.312396694214875</v>
      </c>
      <c r="H1595">
        <v>0.13861340972748</v>
      </c>
      <c r="I1595">
        <v>-0.283635549585851</v>
      </c>
    </row>
    <row r="1596" spans="1:9">
      <c r="A1596" s="1" t="s">
        <v>1608</v>
      </c>
      <c r="B1596">
        <f>HYPERLINK("https://www.suredividend.com/sure-analysis-research-database/","ShotSpotter Inc")</f>
        <v>0</v>
      </c>
      <c r="C1596">
        <v>-0.153328850033624</v>
      </c>
      <c r="D1596">
        <v>-0.157013726146635</v>
      </c>
      <c r="E1596">
        <v>-0.01640625</v>
      </c>
      <c r="F1596">
        <v>-0.147018970189701</v>
      </c>
      <c r="G1596">
        <v>-0.273514137334102</v>
      </c>
      <c r="H1596">
        <v>-0.184321347586653</v>
      </c>
      <c r="I1596">
        <v>0.5630043451272501</v>
      </c>
    </row>
    <row r="1597" spans="1:9">
      <c r="A1597" s="1" t="s">
        <v>1609</v>
      </c>
      <c r="B1597">
        <f>HYPERLINK("https://www.suredividend.com/sure-analysis-research-database/","Shutterstock Inc")</f>
        <v>0</v>
      </c>
      <c r="C1597">
        <v>-0.13666205943331</v>
      </c>
      <c r="D1597">
        <v>-0.172525940326485</v>
      </c>
      <c r="E1597">
        <v>-0.402924796245248</v>
      </c>
      <c r="F1597">
        <v>-0.544337917614252</v>
      </c>
      <c r="G1597">
        <v>-0.5734637610645901</v>
      </c>
      <c r="H1597">
        <v>-0.123388698257653</v>
      </c>
      <c r="I1597">
        <v>0.621123594047553</v>
      </c>
    </row>
    <row r="1598" spans="1:9">
      <c r="A1598" s="1" t="s">
        <v>1610</v>
      </c>
      <c r="B1598">
        <f>HYPERLINK("https://www.suredividend.com/sure-analysis-research-database/","Staar Surgical Co.")</f>
        <v>0</v>
      </c>
      <c r="C1598">
        <v>-0.29180869744861</v>
      </c>
      <c r="D1598">
        <v>-0.142249468284749</v>
      </c>
      <c r="E1598">
        <v>-0.016355810616929</v>
      </c>
      <c r="F1598">
        <v>-0.24906900328587</v>
      </c>
      <c r="G1598">
        <v>-0.408710651142734</v>
      </c>
      <c r="H1598">
        <v>0.180644050284139</v>
      </c>
      <c r="I1598">
        <v>4.154887218045113</v>
      </c>
    </row>
    <row r="1599" spans="1:9">
      <c r="A1599" s="1" t="s">
        <v>1611</v>
      </c>
      <c r="B1599">
        <f>HYPERLINK("https://www.suredividend.com/sure-analysis-STAG/","STAG Industrial Inc")</f>
        <v>0</v>
      </c>
      <c r="C1599">
        <v>-0.154759318896559</v>
      </c>
      <c r="D1599">
        <v>-0.110900655979813</v>
      </c>
      <c r="E1599">
        <v>-0.332658950199208</v>
      </c>
      <c r="F1599">
        <v>-0.422207876049063</v>
      </c>
      <c r="G1599">
        <v>-0.311729059645021</v>
      </c>
      <c r="H1599">
        <v>-0.109969337863594</v>
      </c>
      <c r="I1599">
        <v>0.207322172910118</v>
      </c>
    </row>
    <row r="1600" spans="1:9">
      <c r="A1600" s="1" t="s">
        <v>1612</v>
      </c>
      <c r="B1600">
        <f>HYPERLINK("https://www.suredividend.com/sure-analysis-research-database/","iStar Inc")</f>
        <v>0</v>
      </c>
      <c r="C1600">
        <v>-0.389769452449567</v>
      </c>
      <c r="D1600">
        <v>-0.386636348494833</v>
      </c>
      <c r="E1600">
        <v>-0.6051687006460871</v>
      </c>
      <c r="F1600">
        <v>-0.66752239415279</v>
      </c>
      <c r="G1600">
        <v>-0.6458985689619851</v>
      </c>
      <c r="H1600">
        <v>-0.262150131105555</v>
      </c>
      <c r="I1600">
        <v>-0.212049044597837</v>
      </c>
    </row>
    <row r="1601" spans="1:9">
      <c r="A1601" s="1" t="s">
        <v>1613</v>
      </c>
      <c r="B1601">
        <f>HYPERLINK("https://www.suredividend.com/sure-analysis-research-database/","S &amp; T Bancorp, Inc.")</f>
        <v>0</v>
      </c>
      <c r="C1601">
        <v>-0.0039827414537</v>
      </c>
      <c r="D1601">
        <v>0.087121898206846</v>
      </c>
      <c r="E1601">
        <v>0.08425072530267601</v>
      </c>
      <c r="F1601">
        <v>-0.01936436773346</v>
      </c>
      <c r="G1601">
        <v>0.013936987921277</v>
      </c>
      <c r="H1601">
        <v>0.641478369789359</v>
      </c>
      <c r="I1601">
        <v>-0.138237996783827</v>
      </c>
    </row>
    <row r="1602" spans="1:9">
      <c r="A1602" s="1" t="s">
        <v>1614</v>
      </c>
      <c r="B1602">
        <f>HYPERLINK("https://www.suredividend.com/sure-analysis-research-database/","Stewart Information Services Corp.")</f>
        <v>0</v>
      </c>
      <c r="C1602">
        <v>-0.184349434552454</v>
      </c>
      <c r="D1602">
        <v>-0.121140431186045</v>
      </c>
      <c r="E1602">
        <v>-0.213598813964194</v>
      </c>
      <c r="F1602">
        <v>-0.443486781688804</v>
      </c>
      <c r="G1602">
        <v>-0.333839977277786</v>
      </c>
      <c r="H1602">
        <v>-0.007275555962295</v>
      </c>
      <c r="I1602">
        <v>0.310947423122707</v>
      </c>
    </row>
    <row r="1603" spans="1:9">
      <c r="A1603" s="1" t="s">
        <v>1615</v>
      </c>
      <c r="B1603">
        <f>HYPERLINK("https://www.suredividend.com/sure-analysis-research-database/","Stem Inc")</f>
        <v>0</v>
      </c>
      <c r="C1603">
        <v>-0.197560975609756</v>
      </c>
      <c r="D1603">
        <v>0.4903737259343141</v>
      </c>
      <c r="E1603">
        <v>0.28515625</v>
      </c>
      <c r="F1603">
        <v>-0.306273062730627</v>
      </c>
      <c r="G1603">
        <v>-0.40533212833258</v>
      </c>
      <c r="H1603">
        <v>0.348360655737705</v>
      </c>
      <c r="I1603">
        <v>0.356701030927835</v>
      </c>
    </row>
    <row r="1604" spans="1:9">
      <c r="A1604" s="1" t="s">
        <v>1616</v>
      </c>
      <c r="B1604">
        <f>HYPERLINK("https://www.suredividend.com/sure-analysis-research-database/","StepStone Group Inc")</f>
        <v>0</v>
      </c>
      <c r="C1604">
        <v>-0.150116240451677</v>
      </c>
      <c r="D1604">
        <v>-0.06330985812383701</v>
      </c>
      <c r="E1604">
        <v>-0.135811641383782</v>
      </c>
      <c r="F1604">
        <v>-0.372355689636142</v>
      </c>
      <c r="G1604">
        <v>-0.362576595426692</v>
      </c>
      <c r="H1604">
        <v>-0.027044290586396</v>
      </c>
      <c r="I1604">
        <v>0.053515629824496</v>
      </c>
    </row>
    <row r="1605" spans="1:9">
      <c r="A1605" s="1" t="s">
        <v>1617</v>
      </c>
      <c r="B1605">
        <f>HYPERLINK("https://www.suredividend.com/sure-analysis-research-database/","Sterling Check Corp")</f>
        <v>0</v>
      </c>
      <c r="C1605">
        <v>-0.182268226822682</v>
      </c>
      <c r="D1605">
        <v>0.04425287356321801</v>
      </c>
      <c r="E1605">
        <v>-0.300884955752212</v>
      </c>
      <c r="F1605">
        <v>-0.114090687469527</v>
      </c>
      <c r="G1605">
        <v>-0.282101935993678</v>
      </c>
      <c r="H1605">
        <v>-0.32453531598513</v>
      </c>
      <c r="I1605">
        <v>-0.32453531598513</v>
      </c>
    </row>
    <row r="1606" spans="1:9">
      <c r="A1606" s="1" t="s">
        <v>1618</v>
      </c>
      <c r="B1606">
        <f>HYPERLINK("https://www.suredividend.com/sure-analysis-research-database/","Stagwell Inc")</f>
        <v>0</v>
      </c>
      <c r="C1606">
        <v>0.013986013986013</v>
      </c>
      <c r="D1606">
        <v>0.367924528301886</v>
      </c>
      <c r="E1606">
        <v>0.06774668630338701</v>
      </c>
      <c r="F1606">
        <v>-0.163783160322952</v>
      </c>
      <c r="G1606">
        <v>-0.135876042908224</v>
      </c>
      <c r="H1606">
        <v>0.306306306306306</v>
      </c>
      <c r="I1606">
        <v>0.306306306306306</v>
      </c>
    </row>
    <row r="1607" spans="1:9">
      <c r="A1607" s="1" t="s">
        <v>1619</v>
      </c>
      <c r="B1607">
        <f>HYPERLINK("https://www.suredividend.com/sure-analysis-research-database/","Neuronetics Inc")</f>
        <v>0</v>
      </c>
      <c r="C1607">
        <v>-0.152941176470588</v>
      </c>
      <c r="D1607">
        <v>-0.202216066481994</v>
      </c>
      <c r="E1607">
        <v>-0.04</v>
      </c>
      <c r="F1607">
        <v>-0.354260089686098</v>
      </c>
      <c r="G1607">
        <v>-0.550702028081123</v>
      </c>
      <c r="H1607">
        <v>-0.556240369799691</v>
      </c>
      <c r="I1607">
        <v>-0.896328293736501</v>
      </c>
    </row>
    <row r="1608" spans="1:9">
      <c r="A1608" s="1" t="s">
        <v>1620</v>
      </c>
      <c r="B1608">
        <f>HYPERLINK("https://www.suredividend.com/sure-analysis-research-database/","ONE Group Hospitality Inc")</f>
        <v>0</v>
      </c>
      <c r="C1608">
        <v>-0.120481927710843</v>
      </c>
      <c r="D1608">
        <v>-0.140052356020942</v>
      </c>
      <c r="E1608">
        <v>-0.357142857142857</v>
      </c>
      <c r="F1608">
        <v>-0.47898493259318</v>
      </c>
      <c r="G1608">
        <v>-0.438941076003415</v>
      </c>
      <c r="H1608">
        <v>1.596837944664031</v>
      </c>
      <c r="I1608">
        <v>3.266233766233766</v>
      </c>
    </row>
    <row r="1609" spans="1:9">
      <c r="A1609" s="1" t="s">
        <v>1621</v>
      </c>
      <c r="B1609">
        <f>HYPERLINK("https://www.suredividend.com/sure-analysis-research-database/","Scorpio Tankers Inc")</f>
        <v>0</v>
      </c>
      <c r="C1609">
        <v>-0.07890572009947901</v>
      </c>
      <c r="D1609">
        <v>0.23705329896062</v>
      </c>
      <c r="E1609">
        <v>0.8659314084713471</v>
      </c>
      <c r="F1609">
        <v>2.217247097844113</v>
      </c>
      <c r="G1609">
        <v>1.295133685621895</v>
      </c>
      <c r="H1609">
        <v>2.76041868579182</v>
      </c>
      <c r="I1609">
        <v>0.257077618526004</v>
      </c>
    </row>
    <row r="1610" spans="1:9">
      <c r="A1610" s="1" t="s">
        <v>1622</v>
      </c>
      <c r="B1610">
        <f>HYPERLINK("https://www.suredividend.com/sure-analysis-research-database/","Stoke Therapeutics Inc")</f>
        <v>0</v>
      </c>
      <c r="C1610">
        <v>-0.240947992100065</v>
      </c>
      <c r="D1610">
        <v>-0.205375603032391</v>
      </c>
      <c r="E1610">
        <v>-0.494519947391494</v>
      </c>
      <c r="F1610">
        <v>-0.519383076281784</v>
      </c>
      <c r="G1610">
        <v>-0.488010657193605</v>
      </c>
      <c r="H1610">
        <v>-0.703522756492671</v>
      </c>
      <c r="I1610">
        <v>-0.5490809542432531</v>
      </c>
    </row>
    <row r="1611" spans="1:9">
      <c r="A1611" s="1" t="s">
        <v>1623</v>
      </c>
      <c r="B1611">
        <f>HYPERLINK("https://www.suredividend.com/sure-analysis-research-database/","StoneMor Inc")</f>
        <v>0</v>
      </c>
      <c r="C1611">
        <v>-0.008720930232558001</v>
      </c>
      <c r="D1611">
        <v>-0.002923976608187</v>
      </c>
      <c r="E1611">
        <v>0.364</v>
      </c>
      <c r="F1611">
        <v>0.4956140350877191</v>
      </c>
      <c r="G1611">
        <v>0.34251968503937</v>
      </c>
      <c r="H1611">
        <v>2.440274414850686</v>
      </c>
      <c r="I1611">
        <v>1.351724137931034</v>
      </c>
    </row>
    <row r="1612" spans="1:9">
      <c r="A1612" s="1" t="s">
        <v>1624</v>
      </c>
      <c r="B1612">
        <f>HYPERLINK("https://www.suredividend.com/sure-analysis-research-database/","Strategic Education Inc")</f>
        <v>0</v>
      </c>
      <c r="C1612">
        <v>-0.04876533623233401</v>
      </c>
      <c r="D1612">
        <v>-0.081786236837686</v>
      </c>
      <c r="E1612">
        <v>-0.105998639658338</v>
      </c>
      <c r="F1612">
        <v>0.08982662415304801</v>
      </c>
      <c r="G1612">
        <v>-0.122189753195587</v>
      </c>
      <c r="H1612">
        <v>-0.33084900785392</v>
      </c>
      <c r="I1612">
        <v>-0.238860017347778</v>
      </c>
    </row>
    <row r="1613" spans="1:9">
      <c r="A1613" s="1" t="s">
        <v>1625</v>
      </c>
      <c r="B1613">
        <f>HYPERLINK("https://www.suredividend.com/sure-analysis-research-database/","Sterling Infrastructure Inc")</f>
        <v>0</v>
      </c>
      <c r="C1613">
        <v>-0.09734863474475601</v>
      </c>
      <c r="D1613">
        <v>0.051152073732718</v>
      </c>
      <c r="E1613">
        <v>-0.10967993754879</v>
      </c>
      <c r="F1613">
        <v>-0.132699619771863</v>
      </c>
      <c r="G1613">
        <v>-0.023962344886606</v>
      </c>
      <c r="H1613">
        <v>0.521681120747164</v>
      </c>
      <c r="I1613">
        <v>0.496719160104986</v>
      </c>
    </row>
    <row r="1614" spans="1:9">
      <c r="A1614" s="1" t="s">
        <v>1626</v>
      </c>
      <c r="B1614">
        <f>HYPERLINK("https://www.suredividend.com/sure-analysis-research-database/","Sutro Biopharma Inc")</f>
        <v>0</v>
      </c>
      <c r="C1614">
        <v>-0.049828178694158</v>
      </c>
      <c r="D1614">
        <v>-0.08443708609271501</v>
      </c>
      <c r="E1614">
        <v>-0.346335697399527</v>
      </c>
      <c r="F1614">
        <v>-0.628360215053763</v>
      </c>
      <c r="G1614">
        <v>-0.70268817204301</v>
      </c>
      <c r="H1614">
        <v>-0.5337268128161881</v>
      </c>
      <c r="I1614">
        <v>-0.636184210526315</v>
      </c>
    </row>
    <row r="1615" spans="1:9">
      <c r="A1615" s="1" t="s">
        <v>1627</v>
      </c>
      <c r="B1615">
        <f>HYPERLINK("https://www.suredividend.com/sure-analysis-research-database/","Shattuck Labs Inc")</f>
        <v>0</v>
      </c>
      <c r="C1615">
        <v>-0.171339563862928</v>
      </c>
      <c r="D1615">
        <v>-0.506493506493506</v>
      </c>
      <c r="E1615">
        <v>-0.3248730964467</v>
      </c>
      <c r="F1615">
        <v>-0.687426556991774</v>
      </c>
      <c r="G1615">
        <v>-0.8678589170392441</v>
      </c>
      <c r="H1615">
        <v>-0.8625322997416021</v>
      </c>
      <c r="I1615">
        <v>-0.8625322997416021</v>
      </c>
    </row>
    <row r="1616" spans="1:9">
      <c r="A1616" s="1" t="s">
        <v>1628</v>
      </c>
      <c r="B1616">
        <f>HYPERLINK("https://www.suredividend.com/sure-analysis-research-database/","Stereotaxis Inc")</f>
        <v>0</v>
      </c>
      <c r="C1616">
        <v>-0.072164948453608</v>
      </c>
      <c r="D1616">
        <v>-0.117647058823529</v>
      </c>
      <c r="E1616">
        <v>-0.5013850415512461</v>
      </c>
      <c r="F1616">
        <v>-0.7096774193548381</v>
      </c>
      <c r="G1616">
        <v>-0.653179190751445</v>
      </c>
      <c r="H1616">
        <v>-0.504132231404958</v>
      </c>
      <c r="I1616">
        <v>0.956521739130434</v>
      </c>
    </row>
    <row r="1617" spans="1:9">
      <c r="A1617" s="1" t="s">
        <v>1629</v>
      </c>
      <c r="B1617">
        <f>HYPERLINK("https://www.suredividend.com/sure-analysis-research-database/","Summit Materials Inc")</f>
        <v>0</v>
      </c>
      <c r="C1617">
        <v>-0.18563080096253</v>
      </c>
      <c r="D1617">
        <v>0.008085106382978</v>
      </c>
      <c r="E1617">
        <v>-0.168480168480168</v>
      </c>
      <c r="F1617">
        <v>-0.409815645241654</v>
      </c>
      <c r="G1617">
        <v>-0.250553622271433</v>
      </c>
      <c r="H1617">
        <v>0.235785080855503</v>
      </c>
      <c r="I1617">
        <v>-0.234002651404921</v>
      </c>
    </row>
    <row r="1618" spans="1:9">
      <c r="A1618" s="1" t="s">
        <v>1630</v>
      </c>
      <c r="B1618">
        <f>HYPERLINK("https://www.suredividend.com/sure-analysis-research-database/","Sumo Logic Inc")</f>
        <v>0</v>
      </c>
      <c r="C1618">
        <v>-0.231625835189309</v>
      </c>
      <c r="D1618">
        <v>-0.169675090252707</v>
      </c>
      <c r="E1618">
        <v>-0.345351043643263</v>
      </c>
      <c r="F1618">
        <v>-0.491150442477876</v>
      </c>
      <c r="G1618">
        <v>-0.565217391304347</v>
      </c>
      <c r="H1618">
        <v>-0.7158154859967051</v>
      </c>
      <c r="I1618">
        <v>-0.7433035714285711</v>
      </c>
    </row>
    <row r="1619" spans="1:9">
      <c r="A1619" s="1" t="s">
        <v>1631</v>
      </c>
      <c r="B1619">
        <f>HYPERLINK("https://www.suredividend.com/sure-analysis-research-database/","Supernus Pharmaceuticals Inc")</f>
        <v>0</v>
      </c>
      <c r="C1619">
        <v>-0.08398268398268301</v>
      </c>
      <c r="D1619">
        <v>0.05273631840796</v>
      </c>
      <c r="E1619">
        <v>-0.053102625298329</v>
      </c>
      <c r="F1619">
        <v>0.08847736625514301</v>
      </c>
      <c r="G1619">
        <v>0.203640500568828</v>
      </c>
      <c r="H1619">
        <v>0.4811012599160051</v>
      </c>
      <c r="I1619">
        <v>-0.227737226277372</v>
      </c>
    </row>
    <row r="1620" spans="1:9">
      <c r="A1620" s="1" t="s">
        <v>1632</v>
      </c>
      <c r="B1620">
        <f>HYPERLINK("https://www.suredividend.com/sure-analysis-research-database/","Surface Oncology Inc")</f>
        <v>0</v>
      </c>
      <c r="C1620">
        <v>-0.226277372262773</v>
      </c>
      <c r="D1620">
        <v>-0.4928229665071761</v>
      </c>
      <c r="E1620">
        <v>-0.617328519855595</v>
      </c>
      <c r="F1620">
        <v>-0.778242677824267</v>
      </c>
      <c r="G1620">
        <v>-0.8632258064516131</v>
      </c>
      <c r="H1620">
        <v>-0.8509142053445851</v>
      </c>
      <c r="I1620">
        <v>-0.9204801200300071</v>
      </c>
    </row>
    <row r="1621" spans="1:9">
      <c r="A1621" s="1" t="s">
        <v>1633</v>
      </c>
      <c r="B1621">
        <f>HYPERLINK("https://www.suredividend.com/sure-analysis-SVC/","Service Properties Trust")</f>
        <v>0</v>
      </c>
      <c r="C1621">
        <v>-0.217765042979942</v>
      </c>
      <c r="D1621">
        <v>-0.084000201318637</v>
      </c>
      <c r="E1621">
        <v>-0.315660838503478</v>
      </c>
      <c r="F1621">
        <v>-0.376456077840208</v>
      </c>
      <c r="G1621">
        <v>-0.5187858597075691</v>
      </c>
      <c r="H1621">
        <v>-0.33733843073002</v>
      </c>
      <c r="I1621">
        <v>-0.7785448041176061</v>
      </c>
    </row>
    <row r="1622" spans="1:9">
      <c r="A1622" s="1" t="s">
        <v>1634</v>
      </c>
      <c r="B1622">
        <f>HYPERLINK("https://www.suredividend.com/sure-analysis-research-database/","ShockWave Medical Inc")</f>
        <v>0</v>
      </c>
      <c r="C1622">
        <v>-0.066796684544124</v>
      </c>
      <c r="D1622">
        <v>0.319999999999999</v>
      </c>
      <c r="E1622">
        <v>0.249347258485639</v>
      </c>
      <c r="F1622">
        <v>0.5026075253743051</v>
      </c>
      <c r="G1622">
        <v>0.342417714543359</v>
      </c>
      <c r="H1622">
        <v>2.421785212616524</v>
      </c>
      <c r="I1622">
        <v>7.785573770491803</v>
      </c>
    </row>
    <row r="1623" spans="1:9">
      <c r="A1623" s="1" t="s">
        <v>1635</v>
      </c>
      <c r="B1623">
        <f>HYPERLINK("https://www.suredividend.com/sure-analysis-research-database/","Smith &amp; Wesson Brands Inc")</f>
        <v>0</v>
      </c>
      <c r="C1623">
        <v>-0.16308255231737</v>
      </c>
      <c r="D1623">
        <v>-0.205405981929271</v>
      </c>
      <c r="E1623">
        <v>-0.290229943721971</v>
      </c>
      <c r="F1623">
        <v>-0.401221668542035</v>
      </c>
      <c r="G1623">
        <v>-0.487015542002754</v>
      </c>
      <c r="H1623">
        <v>-0.354718965570575</v>
      </c>
      <c r="I1623">
        <v>-0.289025221540559</v>
      </c>
    </row>
    <row r="1624" spans="1:9">
      <c r="A1624" s="1" t="s">
        <v>1636</v>
      </c>
      <c r="B1624">
        <f>HYPERLINK("https://www.suredividend.com/sure-analysis-research-database/","Latham Group Inc")</f>
        <v>0</v>
      </c>
      <c r="C1624">
        <v>-0.321100917431192</v>
      </c>
      <c r="D1624">
        <v>-0.425465838509316</v>
      </c>
      <c r="E1624">
        <v>-0.710711493354182</v>
      </c>
      <c r="F1624">
        <v>-0.8521773871354371</v>
      </c>
      <c r="G1624">
        <v>-0.717557251908396</v>
      </c>
      <c r="H1624">
        <v>-0.8642201834862381</v>
      </c>
      <c r="I1624">
        <v>-0.8642201834862381</v>
      </c>
    </row>
    <row r="1625" spans="1:9">
      <c r="A1625" s="1" t="s">
        <v>1637</v>
      </c>
      <c r="B1625">
        <f>HYPERLINK("https://www.suredividend.com/sure-analysis-research-database/","Schweitzer-Mauduit International, Inc.")</f>
        <v>0</v>
      </c>
      <c r="C1625">
        <v>-0.163031819806935</v>
      </c>
      <c r="D1625">
        <v>-0.140602055800293</v>
      </c>
      <c r="E1625">
        <v>-0.24698843623848</v>
      </c>
      <c r="F1625">
        <v>-0.205182441356316</v>
      </c>
      <c r="G1625">
        <v>-0.383364810439336</v>
      </c>
      <c r="H1625">
        <v>-0.216170788382854</v>
      </c>
      <c r="I1625">
        <v>-0.214031270878868</v>
      </c>
    </row>
    <row r="1626" spans="1:9">
      <c r="A1626" s="1" t="s">
        <v>1638</v>
      </c>
      <c r="B1626">
        <f>HYPERLINK("https://www.suredividend.com/sure-analysis-research-database/","Southwestern Energy Company")</f>
        <v>0</v>
      </c>
      <c r="C1626">
        <v>-0.118954248366013</v>
      </c>
      <c r="D1626">
        <v>0.106732348111658</v>
      </c>
      <c r="E1626">
        <v>-0.157499999999999</v>
      </c>
      <c r="F1626">
        <v>0.446351931330472</v>
      </c>
      <c r="G1626">
        <v>0.31640625</v>
      </c>
      <c r="H1626">
        <v>1.308219178082192</v>
      </c>
      <c r="I1626">
        <v>0.156089193825042</v>
      </c>
    </row>
    <row r="1627" spans="1:9">
      <c r="A1627" s="1" t="s">
        <v>1639</v>
      </c>
      <c r="B1627">
        <f>HYPERLINK("https://www.suredividend.com/sure-analysis-research-database/","SpringWorks Therapeutics Inc")</f>
        <v>0</v>
      </c>
      <c r="C1627">
        <v>-0.045149911816578</v>
      </c>
      <c r="D1627">
        <v>-0.071355060034305</v>
      </c>
      <c r="E1627">
        <v>-0.5493590810720821</v>
      </c>
      <c r="F1627">
        <v>-0.56324620845434</v>
      </c>
      <c r="G1627">
        <v>-0.505931739368497</v>
      </c>
      <c r="H1627">
        <v>-0.525004386734514</v>
      </c>
      <c r="I1627">
        <v>0.196199734865223</v>
      </c>
    </row>
    <row r="1628" spans="1:9">
      <c r="A1628" s="1" t="s">
        <v>1640</v>
      </c>
      <c r="B1628">
        <f>HYPERLINK("https://www.suredividend.com/sure-analysis-SWX/","Southwest Gas Holdings Inc")</f>
        <v>0</v>
      </c>
      <c r="C1628">
        <v>-0.182150249604285</v>
      </c>
      <c r="D1628">
        <v>-0.215589644895785</v>
      </c>
      <c r="E1628">
        <v>-0.125276728740721</v>
      </c>
      <c r="F1628">
        <v>-0.017903486391449</v>
      </c>
      <c r="G1628">
        <v>0.078393439412013</v>
      </c>
      <c r="H1628">
        <v>0.070617394145634</v>
      </c>
      <c r="I1628">
        <v>-0.019301524265607</v>
      </c>
    </row>
    <row r="1629" spans="1:9">
      <c r="A1629" s="1" t="s">
        <v>1641</v>
      </c>
      <c r="B1629">
        <f>HYPERLINK("https://www.suredividend.com/sure-analysis-research-database/","SunCoke Energy Inc")</f>
        <v>0</v>
      </c>
      <c r="C1629">
        <v>-0.055306427503736</v>
      </c>
      <c r="D1629">
        <v>-0.034377387318563</v>
      </c>
      <c r="E1629">
        <v>-0.280215024372465</v>
      </c>
      <c r="F1629">
        <v>-0.014732247252318</v>
      </c>
      <c r="G1629">
        <v>-0.015974838850309</v>
      </c>
      <c r="H1629">
        <v>0.8932925915940201</v>
      </c>
      <c r="I1629">
        <v>-0.20714572460859</v>
      </c>
    </row>
    <row r="1630" spans="1:9">
      <c r="A1630" s="1" t="s">
        <v>1642</v>
      </c>
      <c r="B1630">
        <f>HYPERLINK("https://www.suredividend.com/sure-analysis-SXI/","Standex International Corp.")</f>
        <v>0</v>
      </c>
      <c r="C1630">
        <v>-0.05197765872563501</v>
      </c>
      <c r="D1630">
        <v>0.017459641705446</v>
      </c>
      <c r="E1630">
        <v>-0.151694418236989</v>
      </c>
      <c r="F1630">
        <v>-0.242454603748287</v>
      </c>
      <c r="G1630">
        <v>-0.19343420335505</v>
      </c>
      <c r="H1630">
        <v>0.314346398308432</v>
      </c>
      <c r="I1630">
        <v>-0.150910650114341</v>
      </c>
    </row>
    <row r="1631" spans="1:9">
      <c r="A1631" s="1" t="s">
        <v>1643</v>
      </c>
      <c r="B1631">
        <f>HYPERLINK("https://www.suredividend.com/sure-analysis-SXT/","Sensient Technologies Corp.")</f>
        <v>0</v>
      </c>
      <c r="C1631">
        <v>-0.113605015673981</v>
      </c>
      <c r="D1631">
        <v>-0.117237899952796</v>
      </c>
      <c r="E1631">
        <v>-0.145781472798897</v>
      </c>
      <c r="F1631">
        <v>-0.283260601537912</v>
      </c>
      <c r="G1631">
        <v>-0.192117978889239</v>
      </c>
      <c r="H1631">
        <v>0.173954127937584</v>
      </c>
      <c r="I1631">
        <v>0.000455717557014</v>
      </c>
    </row>
    <row r="1632" spans="1:9">
      <c r="A1632" s="1" t="s">
        <v>1644</v>
      </c>
      <c r="B1632">
        <f>HYPERLINK("https://www.suredividend.com/sure-analysis-research-database/","Stock Yards Bancorp Inc")</f>
        <v>0</v>
      </c>
      <c r="C1632">
        <v>0.030905070763396</v>
      </c>
      <c r="D1632">
        <v>0.118809840669848</v>
      </c>
      <c r="E1632">
        <v>0.34380798685935</v>
      </c>
      <c r="F1632">
        <v>0.111986204574974</v>
      </c>
      <c r="G1632">
        <v>0.164023802400186</v>
      </c>
      <c r="H1632">
        <v>0.937382942287954</v>
      </c>
      <c r="I1632">
        <v>1.059524159632973</v>
      </c>
    </row>
    <row r="1633" spans="1:9">
      <c r="A1633" s="1" t="s">
        <v>1645</v>
      </c>
      <c r="B1633">
        <f>HYPERLINK("https://www.suredividend.com/sure-analysis-research-database/","Synaptics Inc")</f>
        <v>0</v>
      </c>
      <c r="C1633">
        <v>-0.234475987891679</v>
      </c>
      <c r="D1633">
        <v>-0.219143787031628</v>
      </c>
      <c r="E1633">
        <v>-0.435781476121563</v>
      </c>
      <c r="F1633">
        <v>-0.6767987288867391</v>
      </c>
      <c r="G1633">
        <v>-0.4706381534283771</v>
      </c>
      <c r="H1633">
        <v>0.108124111795357</v>
      </c>
      <c r="I1633">
        <v>1.530971057614282</v>
      </c>
    </row>
    <row r="1634" spans="1:9">
      <c r="A1634" s="1" t="s">
        <v>1646</v>
      </c>
      <c r="B1634">
        <f>HYPERLINK("https://www.suredividend.com/sure-analysis-research-database/","Syros Pharmaceuticals Inc.")</f>
        <v>0</v>
      </c>
      <c r="C1634">
        <v>-0.072463768115942</v>
      </c>
      <c r="D1634">
        <v>-0.269406392694063</v>
      </c>
      <c r="E1634">
        <v>-0.443478260869565</v>
      </c>
      <c r="F1634">
        <v>-0.803680981595092</v>
      </c>
      <c r="G1634">
        <v>-0.858093126385809</v>
      </c>
      <c r="H1634">
        <v>-0.9336787564766841</v>
      </c>
      <c r="I1634">
        <v>-0.9613759806879901</v>
      </c>
    </row>
    <row r="1635" spans="1:9">
      <c r="A1635" s="1" t="s">
        <v>1647</v>
      </c>
      <c r="B1635">
        <f>HYPERLINK("https://www.suredividend.com/sure-analysis-research-database/","TravelCenters of America Inc")</f>
        <v>0</v>
      </c>
      <c r="C1635">
        <v>0.00560328726186</v>
      </c>
      <c r="D1635">
        <v>0.509391645640594</v>
      </c>
      <c r="E1635">
        <v>0.353103794923347</v>
      </c>
      <c r="F1635">
        <v>0.043006586594343</v>
      </c>
      <c r="G1635">
        <v>-0.03200287666307</v>
      </c>
      <c r="H1635">
        <v>1.250836120401337</v>
      </c>
      <c r="I1635">
        <v>2.278928136419001</v>
      </c>
    </row>
    <row r="1636" spans="1:9">
      <c r="A1636" s="1" t="s">
        <v>1648</v>
      </c>
      <c r="B1636">
        <f>HYPERLINK("https://www.suredividend.com/sure-analysis-research-database/","Talos Energy Inc")</f>
        <v>0</v>
      </c>
      <c r="C1636">
        <v>0.022648941408173</v>
      </c>
      <c r="D1636">
        <v>0.44940683879972</v>
      </c>
      <c r="E1636">
        <v>0.108916177255739</v>
      </c>
      <c r="F1636">
        <v>1.11938775510204</v>
      </c>
      <c r="G1636">
        <v>0.5465376023827251</v>
      </c>
      <c r="H1636">
        <v>1.992795389048991</v>
      </c>
      <c r="I1636">
        <v>-0.428610729023383</v>
      </c>
    </row>
    <row r="1637" spans="1:9">
      <c r="A1637" s="1" t="s">
        <v>1649</v>
      </c>
      <c r="B1637">
        <f>HYPERLINK("https://www.suredividend.com/sure-analysis-research-database/","Talaris Therapeutics Inc")</f>
        <v>0</v>
      </c>
      <c r="C1637">
        <v>-0.373056994818652</v>
      </c>
      <c r="D1637">
        <v>-0.221864951768488</v>
      </c>
      <c r="E1637">
        <v>-0.740621650589496</v>
      </c>
      <c r="F1637">
        <v>-0.8417266187050361</v>
      </c>
      <c r="G1637">
        <v>-0.833103448275862</v>
      </c>
      <c r="H1637">
        <v>-0.8510769230769231</v>
      </c>
      <c r="I1637">
        <v>-0.8510769230769231</v>
      </c>
    </row>
    <row r="1638" spans="1:9">
      <c r="A1638" s="1" t="s">
        <v>1650</v>
      </c>
      <c r="B1638">
        <f>HYPERLINK("https://www.suredividend.com/sure-analysis-research-database/","Tarsus Pharmaceuticals Inc")</f>
        <v>0</v>
      </c>
      <c r="C1638">
        <v>0.034782608695652</v>
      </c>
      <c r="D1638">
        <v>0.132562882392929</v>
      </c>
      <c r="E1638">
        <v>-0.059288537549407</v>
      </c>
      <c r="F1638">
        <v>-0.259555555555555</v>
      </c>
      <c r="G1638">
        <v>-0.322213181448331</v>
      </c>
      <c r="H1638">
        <v>-0.19047619047619</v>
      </c>
      <c r="I1638">
        <v>-0.19047619047619</v>
      </c>
    </row>
    <row r="1639" spans="1:9">
      <c r="A1639" s="1" t="s">
        <v>1651</v>
      </c>
      <c r="B1639">
        <f>HYPERLINK("https://www.suredividend.com/sure-analysis-research-database/","Carrols Restaurant Group Inc.")</f>
        <v>0</v>
      </c>
      <c r="C1639">
        <v>-0.217391304347825</v>
      </c>
      <c r="D1639">
        <v>-0.205882352941176</v>
      </c>
      <c r="E1639">
        <v>-0.217391304347825</v>
      </c>
      <c r="F1639">
        <v>-0.452702702702702</v>
      </c>
      <c r="G1639">
        <v>-0.5668449197860961</v>
      </c>
      <c r="H1639">
        <v>-0.739382239382239</v>
      </c>
      <c r="I1639">
        <v>-0.8180204670808011</v>
      </c>
    </row>
    <row r="1640" spans="1:9">
      <c r="A1640" s="1" t="s">
        <v>1652</v>
      </c>
      <c r="B1640">
        <f>HYPERLINK("https://www.suredividend.com/sure-analysis-research-database/","Bancorp Inc. (The)")</f>
        <v>0</v>
      </c>
      <c r="C1640">
        <v>-0.062371768567911</v>
      </c>
      <c r="D1640">
        <v>0.117906066536203</v>
      </c>
      <c r="E1640">
        <v>-0.115369725125822</v>
      </c>
      <c r="F1640">
        <v>-0.09719478467009</v>
      </c>
      <c r="G1640">
        <v>-0.252779594506213</v>
      </c>
      <c r="H1640">
        <v>1.415433403805496</v>
      </c>
      <c r="I1640">
        <v>1.688235294117647</v>
      </c>
    </row>
    <row r="1641" spans="1:9">
      <c r="A1641" s="1" t="s">
        <v>1653</v>
      </c>
      <c r="B1641">
        <f>HYPERLINK("https://www.suredividend.com/sure-analysis-research-database/","TrueBlue Inc")</f>
        <v>0</v>
      </c>
      <c r="C1641">
        <v>-0.025452765540871</v>
      </c>
      <c r="D1641">
        <v>0.08206521739130401</v>
      </c>
      <c r="E1641">
        <v>-0.270963017209813</v>
      </c>
      <c r="F1641">
        <v>-0.28044813877846</v>
      </c>
      <c r="G1641">
        <v>-0.365519439133205</v>
      </c>
      <c r="H1641">
        <v>0.165690866510538</v>
      </c>
      <c r="I1641">
        <v>-0.150959488272921</v>
      </c>
    </row>
    <row r="1642" spans="1:9">
      <c r="A1642" s="1" t="s">
        <v>1654</v>
      </c>
      <c r="B1642">
        <f>HYPERLINK("https://www.suredividend.com/sure-analysis-research-database/","Triumph Bancorp Inc")</f>
        <v>0</v>
      </c>
      <c r="C1642">
        <v>-0.1114859437751</v>
      </c>
      <c r="D1642">
        <v>-0.148290729904527</v>
      </c>
      <c r="E1642">
        <v>-0.281874837704492</v>
      </c>
      <c r="F1642">
        <v>-0.535522337924084</v>
      </c>
      <c r="G1642">
        <v>-0.484769445738239</v>
      </c>
      <c r="H1642">
        <v>0.408095723014256</v>
      </c>
      <c r="I1642">
        <v>0.707098765432098</v>
      </c>
    </row>
    <row r="1643" spans="1:9">
      <c r="A1643" s="1" t="s">
        <v>1655</v>
      </c>
      <c r="B1643">
        <f>HYPERLINK("https://www.suredividend.com/sure-analysis-research-database/","Theravance Biopharma Inc")</f>
        <v>0</v>
      </c>
      <c r="C1643">
        <v>0.071973827699018</v>
      </c>
      <c r="D1643">
        <v>0.065005417118093</v>
      </c>
      <c r="E1643">
        <v>0.00924024640657</v>
      </c>
      <c r="F1643">
        <v>-0.110407239819004</v>
      </c>
      <c r="G1643">
        <v>0.198780487804878</v>
      </c>
      <c r="H1643">
        <v>-0.453888888888888</v>
      </c>
      <c r="I1643">
        <v>-0.6993883792048921</v>
      </c>
    </row>
    <row r="1644" spans="1:9">
      <c r="A1644" s="1" t="s">
        <v>1656</v>
      </c>
      <c r="B1644">
        <f>HYPERLINK("https://www.suredividend.com/sure-analysis-research-database/","Texas Capital Bancshares, Inc.")</f>
        <v>0</v>
      </c>
      <c r="C1644">
        <v>0.018262586377097</v>
      </c>
      <c r="D1644">
        <v>0.137892995035852</v>
      </c>
      <c r="E1644">
        <v>0.139569140121524</v>
      </c>
      <c r="F1644">
        <v>0.027219917012448</v>
      </c>
      <c r="G1644">
        <v>-0.007696007696007001</v>
      </c>
      <c r="H1644">
        <v>0.694687842278203</v>
      </c>
      <c r="I1644">
        <v>-0.28326577880718</v>
      </c>
    </row>
    <row r="1645" spans="1:9">
      <c r="A1645" s="1" t="s">
        <v>1657</v>
      </c>
      <c r="B1645">
        <f>HYPERLINK("https://www.suredividend.com/sure-analysis-research-database/","Trico Bancshares")</f>
        <v>0</v>
      </c>
      <c r="C1645">
        <v>0.014237144071398</v>
      </c>
      <c r="D1645">
        <v>0.033333838489899</v>
      </c>
      <c r="E1645">
        <v>0.279912902637591</v>
      </c>
      <c r="F1645">
        <v>0.131115023947029</v>
      </c>
      <c r="G1645">
        <v>0.09376145779863601</v>
      </c>
      <c r="H1645">
        <v>0.8334492123428431</v>
      </c>
      <c r="I1645">
        <v>0.279700143171983</v>
      </c>
    </row>
    <row r="1646" spans="1:9">
      <c r="A1646" s="1" t="s">
        <v>1658</v>
      </c>
      <c r="B1646">
        <f>HYPERLINK("https://www.suredividend.com/sure-analysis-research-database/","Third Coast Bancshares Inc")</f>
        <v>0</v>
      </c>
      <c r="C1646">
        <v>-0.11674590596936</v>
      </c>
      <c r="D1646">
        <v>-0.227356746765249</v>
      </c>
      <c r="E1646">
        <v>-0.24988784208165</v>
      </c>
      <c r="F1646">
        <v>-0.3564280215550421</v>
      </c>
      <c r="G1646">
        <v>-0.3314674130347861</v>
      </c>
      <c r="H1646">
        <v>-0.3314674130347861</v>
      </c>
      <c r="I1646">
        <v>-0.3314674130347861</v>
      </c>
    </row>
    <row r="1647" spans="1:9">
      <c r="A1647" s="1" t="s">
        <v>1659</v>
      </c>
      <c r="B1647">
        <f>HYPERLINK("https://www.suredividend.com/sure-analysis-research-database/","Tactile Systems Technology Inc")</f>
        <v>0</v>
      </c>
      <c r="C1647">
        <v>-0.156794425087107</v>
      </c>
      <c r="D1647">
        <v>-0.06322580645161201</v>
      </c>
      <c r="E1647">
        <v>-0.614854111405835</v>
      </c>
      <c r="F1647">
        <v>-0.618497109826589</v>
      </c>
      <c r="G1647">
        <v>-0.8170362903225801</v>
      </c>
      <c r="H1647">
        <v>-0.7962962962962961</v>
      </c>
      <c r="I1647">
        <v>-0.7668593448940271</v>
      </c>
    </row>
    <row r="1648" spans="1:9">
      <c r="A1648" s="1" t="s">
        <v>1660</v>
      </c>
      <c r="B1648">
        <f>HYPERLINK("https://www.suredividend.com/sure-analysis-research-database/","Tcr2 Therapeutics Inc")</f>
        <v>0</v>
      </c>
      <c r="C1648">
        <v>-0.2875</v>
      </c>
      <c r="D1648">
        <v>-0.483383685800604</v>
      </c>
      <c r="E1648">
        <v>-0.313253012048192</v>
      </c>
      <c r="F1648">
        <v>-0.6330472103004291</v>
      </c>
      <c r="G1648">
        <v>-0.7840909090909091</v>
      </c>
      <c r="H1648">
        <v>-0.921306948918545</v>
      </c>
      <c r="I1648">
        <v>-0.886529528865295</v>
      </c>
    </row>
    <row r="1649" spans="1:9">
      <c r="A1649" s="1" t="s">
        <v>1661</v>
      </c>
      <c r="B1649">
        <f>HYPERLINK("https://www.suredividend.com/sure-analysis-research-database/","Alaunos Therapeutics Inc")</f>
        <v>0</v>
      </c>
      <c r="C1649">
        <v>-0.604336043360433</v>
      </c>
      <c r="D1649">
        <v>0.08955223880596901</v>
      </c>
      <c r="E1649">
        <v>1.849892641030646</v>
      </c>
      <c r="F1649">
        <v>0.339449541284403</v>
      </c>
      <c r="G1649">
        <v>-0.156069364161849</v>
      </c>
      <c r="H1649">
        <v>-0.480427046263345</v>
      </c>
      <c r="I1649">
        <v>-0.752961082910321</v>
      </c>
    </row>
    <row r="1650" spans="1:9">
      <c r="A1650" s="1" t="s">
        <v>1662</v>
      </c>
      <c r="B1650">
        <f>HYPERLINK("https://www.suredividend.com/sure-analysis-research-database/","Container Store Group Inc")</f>
        <v>0</v>
      </c>
      <c r="C1650">
        <v>-0.251515151515151</v>
      </c>
      <c r="D1650">
        <v>-0.273529411764705</v>
      </c>
      <c r="E1650">
        <v>-0.367477592829705</v>
      </c>
      <c r="F1650">
        <v>-0.50501002004008</v>
      </c>
      <c r="G1650">
        <v>-0.507477567298105</v>
      </c>
      <c r="H1650">
        <v>-0.4222222222222221</v>
      </c>
      <c r="I1650">
        <v>0.219753086419753</v>
      </c>
    </row>
    <row r="1651" spans="1:9">
      <c r="A1651" s="1" t="s">
        <v>1663</v>
      </c>
      <c r="B1651">
        <f>HYPERLINK("https://www.suredividend.com/sure-analysis-research-database/","Tucows, Inc.")</f>
        <v>0</v>
      </c>
      <c r="C1651">
        <v>-0.09153983885407301</v>
      </c>
      <c r="D1651">
        <v>-0.146910466582597</v>
      </c>
      <c r="E1651">
        <v>-0.385372501514233</v>
      </c>
      <c r="F1651">
        <v>-0.5157480314960631</v>
      </c>
      <c r="G1651">
        <v>-0.486202531645569</v>
      </c>
      <c r="H1651">
        <v>-0.450372376438727</v>
      </c>
      <c r="I1651">
        <v>-0.291004366812226</v>
      </c>
    </row>
    <row r="1652" spans="1:9">
      <c r="A1652" s="1" t="s">
        <v>1664</v>
      </c>
      <c r="B1652">
        <f>HYPERLINK("https://www.suredividend.com/sure-analysis-TDS/","Telephone And Data Systems, Inc.")</f>
        <v>0</v>
      </c>
      <c r="C1652">
        <v>-0.127230169698328</v>
      </c>
      <c r="D1652">
        <v>-0.062006583348944</v>
      </c>
      <c r="E1652">
        <v>-0.298940409934844</v>
      </c>
      <c r="F1652">
        <v>-0.280940828918282</v>
      </c>
      <c r="G1652">
        <v>-0.245611958288044</v>
      </c>
      <c r="H1652">
        <v>-0.207605181651708</v>
      </c>
      <c r="I1652">
        <v>-0.4343717976648671</v>
      </c>
    </row>
    <row r="1653" spans="1:9">
      <c r="A1653" s="1" t="s">
        <v>1665</v>
      </c>
      <c r="B1653">
        <f>HYPERLINK("https://www.suredividend.com/sure-analysis-research-database/","Tidewater Inc.")</f>
        <v>0</v>
      </c>
      <c r="C1653">
        <v>-0.029471960704052</v>
      </c>
      <c r="D1653">
        <v>0.215897435897435</v>
      </c>
      <c r="E1653">
        <v>0.082648401826484</v>
      </c>
      <c r="F1653">
        <v>1.213818860877684</v>
      </c>
      <c r="G1653">
        <v>0.8308880308880311</v>
      </c>
      <c r="H1653">
        <v>2.647692307692308</v>
      </c>
      <c r="I1653">
        <v>-0.117931547619047</v>
      </c>
    </row>
    <row r="1654" spans="1:9">
      <c r="A1654" s="1" t="s">
        <v>1666</v>
      </c>
      <c r="B1654">
        <f>HYPERLINK("https://www.suredividend.com/sure-analysis-research-database/","Tellurian Inc")</f>
        <v>0</v>
      </c>
      <c r="C1654">
        <v>-0.429530201342281</v>
      </c>
      <c r="D1654">
        <v>-0.180064308681672</v>
      </c>
      <c r="E1654">
        <v>-0.556521739130434</v>
      </c>
      <c r="F1654">
        <v>-0.172077922077922</v>
      </c>
      <c r="G1654">
        <v>-0.256559766763848</v>
      </c>
      <c r="H1654">
        <v>1.775359164127122</v>
      </c>
      <c r="I1654">
        <v>-0.772321428571428</v>
      </c>
    </row>
    <row r="1655" spans="1:9">
      <c r="A1655" s="1" t="s">
        <v>1667</v>
      </c>
      <c r="B1655">
        <f>HYPERLINK("https://www.suredividend.com/sure-analysis-research-database/","Tenneco, Inc.")</f>
        <v>0</v>
      </c>
      <c r="C1655">
        <v>-0.07032854209445501</v>
      </c>
      <c r="D1655">
        <v>-0.05775234131113401</v>
      </c>
      <c r="E1655">
        <v>0.023163841807909</v>
      </c>
      <c r="F1655">
        <v>0.6026548672566371</v>
      </c>
      <c r="G1655">
        <v>0.218707940780619</v>
      </c>
      <c r="H1655">
        <v>1.05328798185941</v>
      </c>
      <c r="I1655">
        <v>-0.7000106015027631</v>
      </c>
    </row>
    <row r="1656" spans="1:9">
      <c r="A1656" s="1" t="s">
        <v>1668</v>
      </c>
      <c r="B1656">
        <f>HYPERLINK("https://www.suredividend.com/sure-analysis-research-database/","Tenable Holdings Inc")</f>
        <v>0</v>
      </c>
      <c r="C1656">
        <v>-0.267274472168906</v>
      </c>
      <c r="D1656">
        <v>-0.4091700522344741</v>
      </c>
      <c r="E1656">
        <v>-0.4572596410165271</v>
      </c>
      <c r="F1656">
        <v>-0.4454330851643361</v>
      </c>
      <c r="G1656">
        <v>-0.36796357615894</v>
      </c>
      <c r="H1656">
        <v>-0.251654006370987</v>
      </c>
      <c r="I1656">
        <v>0.009586776859504001</v>
      </c>
    </row>
    <row r="1657" spans="1:9">
      <c r="A1657" s="1" t="s">
        <v>1669</v>
      </c>
      <c r="B1657">
        <f>HYPERLINK("https://www.suredividend.com/sure-analysis-research-database/","Terns Pharmaceuticals Inc")</f>
        <v>0</v>
      </c>
      <c r="C1657">
        <v>0.062618595825427</v>
      </c>
      <c r="D1657">
        <v>1.105263157894736</v>
      </c>
      <c r="E1657">
        <v>1.1455938697318</v>
      </c>
      <c r="F1657">
        <v>-0.207920792079208</v>
      </c>
      <c r="G1657">
        <v>-0.456838021338506</v>
      </c>
      <c r="H1657">
        <v>-0.6954866775421421</v>
      </c>
      <c r="I1657">
        <v>-0.6954866775421421</v>
      </c>
    </row>
    <row r="1658" spans="1:9">
      <c r="A1658" s="1" t="s">
        <v>1670</v>
      </c>
      <c r="B1658">
        <f>HYPERLINK("https://www.suredividend.com/sure-analysis-research-database/","Terex Corp.")</f>
        <v>0</v>
      </c>
      <c r="C1658">
        <v>-0.11232799775344</v>
      </c>
      <c r="D1658">
        <v>0.127716276431407</v>
      </c>
      <c r="E1658">
        <v>-0.02555265437484</v>
      </c>
      <c r="F1658">
        <v>-0.272953932281903</v>
      </c>
      <c r="G1658">
        <v>-0.238581125676268</v>
      </c>
      <c r="H1658">
        <v>0.318286269554301</v>
      </c>
      <c r="I1658">
        <v>-0.266980497646267</v>
      </c>
    </row>
    <row r="1659" spans="1:9">
      <c r="A1659" s="1" t="s">
        <v>1671</v>
      </c>
      <c r="B1659">
        <f>HYPERLINK("https://www.suredividend.com/sure-analysis-research-database/","Tredegar Corp.")</f>
        <v>0</v>
      </c>
      <c r="C1659">
        <v>-0.011574210536658</v>
      </c>
      <c r="D1659">
        <v>0.026247870484662</v>
      </c>
      <c r="E1659">
        <v>-0.09645317453902001</v>
      </c>
      <c r="F1659">
        <v>-0.120198698663681</v>
      </c>
      <c r="G1659">
        <v>-0.164104694640631</v>
      </c>
      <c r="H1659">
        <v>-0.038580999072985</v>
      </c>
      <c r="I1659">
        <v>-0.131575766992973</v>
      </c>
    </row>
    <row r="1660" spans="1:9">
      <c r="A1660" s="1" t="s">
        <v>1672</v>
      </c>
      <c r="B1660">
        <f>HYPERLINK("https://www.suredividend.com/sure-analysis-research-database/","Textainer Group Holdings Limited")</f>
        <v>0</v>
      </c>
      <c r="C1660">
        <v>-0.127349319507452</v>
      </c>
      <c r="D1660">
        <v>0.006800483024962001</v>
      </c>
      <c r="E1660">
        <v>-0.18656457191186</v>
      </c>
      <c r="F1660">
        <v>-0.228439717734426</v>
      </c>
      <c r="G1660">
        <v>-0.2304153128206</v>
      </c>
      <c r="H1660">
        <v>0.878658081438746</v>
      </c>
      <c r="I1660">
        <v>0.5383209281336221</v>
      </c>
    </row>
    <row r="1661" spans="1:9">
      <c r="A1661" s="1" t="s">
        <v>1673</v>
      </c>
      <c r="B1661">
        <f>HYPERLINK("https://www.suredividend.com/sure-analysis-research-database/","Triumph Group Inc.")</f>
        <v>0</v>
      </c>
      <c r="C1661">
        <v>-0.271020408163265</v>
      </c>
      <c r="D1661">
        <v>-0.329579579579579</v>
      </c>
      <c r="E1661">
        <v>-0.6252622744439781</v>
      </c>
      <c r="F1661">
        <v>-0.5180787911494871</v>
      </c>
      <c r="G1661">
        <v>-0.547619047619047</v>
      </c>
      <c r="H1661">
        <v>0.240277777777777</v>
      </c>
      <c r="I1661">
        <v>-0.720249488585991</v>
      </c>
    </row>
    <row r="1662" spans="1:9">
      <c r="A1662" s="1" t="s">
        <v>1674</v>
      </c>
      <c r="B1662">
        <f>HYPERLINK("https://www.suredividend.com/sure-analysis-research-database/","TEGNA Inc")</f>
        <v>0</v>
      </c>
      <c r="C1662">
        <v>-0.06258628624022</v>
      </c>
      <c r="D1662">
        <v>0.020515518148342</v>
      </c>
      <c r="E1662">
        <v>-0.087030181339022</v>
      </c>
      <c r="F1662">
        <v>0.111881355654656</v>
      </c>
      <c r="G1662">
        <v>0.04874582972939501</v>
      </c>
      <c r="H1662">
        <v>0.747702761833672</v>
      </c>
      <c r="I1662">
        <v>0.7263882297104881</v>
      </c>
    </row>
    <row r="1663" spans="1:9">
      <c r="A1663" s="1" t="s">
        <v>1675</v>
      </c>
      <c r="B1663">
        <f>HYPERLINK("https://www.suredividend.com/sure-analysis-research-database/","TG Therapeutics Inc")</f>
        <v>0</v>
      </c>
      <c r="C1663">
        <v>-0.276005547850208</v>
      </c>
      <c r="D1663">
        <v>-0.07282415630550601</v>
      </c>
      <c r="E1663">
        <v>-0.436285097192224</v>
      </c>
      <c r="F1663">
        <v>-0.7252631578947361</v>
      </c>
      <c r="G1663">
        <v>-0.8345483359746431</v>
      </c>
      <c r="H1663">
        <v>-0.8316129032258061</v>
      </c>
      <c r="I1663">
        <v>-0.563179916317991</v>
      </c>
    </row>
    <row r="1664" spans="1:9">
      <c r="A1664" s="1" t="s">
        <v>1676</v>
      </c>
      <c r="B1664">
        <f>HYPERLINK("https://www.suredividend.com/sure-analysis-research-database/","Target Hospitality Corp")</f>
        <v>0</v>
      </c>
      <c r="C1664">
        <v>-0.137269372693726</v>
      </c>
      <c r="D1664">
        <v>0.5361366622864651</v>
      </c>
      <c r="E1664">
        <v>1.20566037735849</v>
      </c>
      <c r="F1664">
        <v>2.283707865168539</v>
      </c>
      <c r="G1664">
        <v>1.959493670886076</v>
      </c>
      <c r="H1664">
        <v>8.204724409448819</v>
      </c>
      <c r="I1664">
        <v>0.189216683621566</v>
      </c>
    </row>
    <row r="1665" spans="1:9">
      <c r="A1665" s="1" t="s">
        <v>1677</v>
      </c>
      <c r="B1665">
        <f>HYPERLINK("https://www.suredividend.com/sure-analysis-research-database/","Tenet Healthcare Corp.")</f>
        <v>0</v>
      </c>
      <c r="C1665">
        <v>-0.14410198483137</v>
      </c>
      <c r="D1665">
        <v>-0.038084874863982</v>
      </c>
      <c r="E1665">
        <v>-0.369547129442529</v>
      </c>
      <c r="F1665">
        <v>-0.350716121924348</v>
      </c>
      <c r="G1665">
        <v>-0.142580019398642</v>
      </c>
      <c r="H1665">
        <v>0.8630136986301371</v>
      </c>
      <c r="I1665">
        <v>2.683333333333333</v>
      </c>
    </row>
    <row r="1666" spans="1:9">
      <c r="A1666" s="1" t="s">
        <v>1678</v>
      </c>
      <c r="B1666">
        <f>HYPERLINK("https://www.suredividend.com/sure-analysis-THFF/","First Financial Corp. - Indiana")</f>
        <v>0</v>
      </c>
      <c r="C1666">
        <v>-0.009067357512953001</v>
      </c>
      <c r="D1666">
        <v>0.034715960324616</v>
      </c>
      <c r="E1666">
        <v>0.112681416765854</v>
      </c>
      <c r="F1666">
        <v>0.038071674439011</v>
      </c>
      <c r="G1666">
        <v>0.08427587379879201</v>
      </c>
      <c r="H1666">
        <v>0.413721413721413</v>
      </c>
      <c r="I1666">
        <v>0.10999332553033</v>
      </c>
    </row>
    <row r="1667" spans="1:9">
      <c r="A1667" s="1" t="s">
        <v>1679</v>
      </c>
      <c r="B1667">
        <f>HYPERLINK("https://www.suredividend.com/sure-analysis-research-database/","Thermon Group Holdings Inc")</f>
        <v>0</v>
      </c>
      <c r="C1667">
        <v>-0.120292299044406</v>
      </c>
      <c r="D1667">
        <v>0.09059233449477301</v>
      </c>
      <c r="E1667">
        <v>-0.006979695431472001</v>
      </c>
      <c r="F1667">
        <v>-0.07560543414057801</v>
      </c>
      <c r="G1667">
        <v>-0.09850230414746501</v>
      </c>
      <c r="H1667">
        <v>0.309623430962343</v>
      </c>
      <c r="I1667">
        <v>-0.247596153846153</v>
      </c>
    </row>
    <row r="1668" spans="1:9">
      <c r="A1668" s="1" t="s">
        <v>1680</v>
      </c>
      <c r="B1668">
        <f>HYPERLINK("https://www.suredividend.com/sure-analysis-research-database/","Gentherm Inc")</f>
        <v>0</v>
      </c>
      <c r="C1668">
        <v>-0.08424908424908401</v>
      </c>
      <c r="D1668">
        <v>-0.118448469305978</v>
      </c>
      <c r="E1668">
        <v>-0.202089075874075</v>
      </c>
      <c r="F1668">
        <v>-0.3670886075949361</v>
      </c>
      <c r="G1668">
        <v>-0.367888748419721</v>
      </c>
      <c r="H1668">
        <v>0.174210076857386</v>
      </c>
      <c r="I1668">
        <v>0.4725568942436411</v>
      </c>
    </row>
    <row r="1669" spans="1:9">
      <c r="A1669" s="1" t="s">
        <v>1681</v>
      </c>
      <c r="B1669">
        <f>HYPERLINK("https://www.suredividend.com/sure-analysis-research-database/","Theseus Pharmaceuticals Inc")</f>
        <v>0</v>
      </c>
      <c r="C1669">
        <v>-0.284196547144754</v>
      </c>
      <c r="D1669">
        <v>-0.211988304093567</v>
      </c>
      <c r="E1669">
        <v>-0.607714701601164</v>
      </c>
      <c r="F1669">
        <v>-0.574921135646687</v>
      </c>
      <c r="G1669">
        <v>-0.679166666666666</v>
      </c>
      <c r="H1669">
        <v>-0.7099031216361681</v>
      </c>
      <c r="I1669">
        <v>-0.7099031216361681</v>
      </c>
    </row>
    <row r="1670" spans="1:9">
      <c r="A1670" s="1" t="s">
        <v>1682</v>
      </c>
      <c r="B1670">
        <f>HYPERLINK("https://www.suredividend.com/sure-analysis-research-database/","Thryv Holdings Inc")</f>
        <v>0</v>
      </c>
      <c r="C1670">
        <v>-0.18091222690686</v>
      </c>
      <c r="D1670">
        <v>-0.06681222707423501</v>
      </c>
      <c r="E1670">
        <v>-0.220072992700729</v>
      </c>
      <c r="F1670">
        <v>-0.480427911500121</v>
      </c>
      <c r="G1670">
        <v>-0.222626409603492</v>
      </c>
      <c r="H1670">
        <v>0.9097408400357461</v>
      </c>
      <c r="I1670">
        <v>0.9295711060948081</v>
      </c>
    </row>
    <row r="1671" spans="1:9">
      <c r="A1671" s="1" t="s">
        <v>1683</v>
      </c>
      <c r="B1671">
        <f>HYPERLINK("https://www.suredividend.com/sure-analysis-research-database/","Treehouse Foods Inc")</f>
        <v>0</v>
      </c>
      <c r="C1671">
        <v>0.04612254126158701</v>
      </c>
      <c r="D1671">
        <v>0.104559560754356</v>
      </c>
      <c r="E1671">
        <v>0.384914696198743</v>
      </c>
      <c r="F1671">
        <v>0.141623488773747</v>
      </c>
      <c r="G1671">
        <v>0.17675483214649</v>
      </c>
      <c r="H1671">
        <v>0.148138957816377</v>
      </c>
      <c r="I1671">
        <v>-0.323933372296902</v>
      </c>
    </row>
    <row r="1672" spans="1:9">
      <c r="A1672" s="1" t="s">
        <v>1684</v>
      </c>
      <c r="B1672">
        <f>HYPERLINK("https://www.suredividend.com/sure-analysis-research-database/","Trean Insurance Group Inc")</f>
        <v>0</v>
      </c>
      <c r="C1672">
        <v>-0.182926829268292</v>
      </c>
      <c r="D1672">
        <v>-0.4234079173838211</v>
      </c>
      <c r="E1672">
        <v>-0.184914841849148</v>
      </c>
      <c r="F1672">
        <v>-0.6240179573512901</v>
      </c>
      <c r="G1672">
        <v>-0.67819404418828</v>
      </c>
      <c r="H1672">
        <v>-0.771798365122615</v>
      </c>
      <c r="I1672">
        <v>-0.7840103159252091</v>
      </c>
    </row>
    <row r="1673" spans="1:9">
      <c r="A1673" s="1" t="s">
        <v>1685</v>
      </c>
      <c r="B1673">
        <f>HYPERLINK("https://www.suredividend.com/sure-analysis-research-database/","Instil Bio Inc")</f>
        <v>0</v>
      </c>
      <c r="C1673">
        <v>-0.258373205741626</v>
      </c>
      <c r="D1673">
        <v>-0.211864406779661</v>
      </c>
      <c r="E1673">
        <v>-0.506369426751592</v>
      </c>
      <c r="F1673">
        <v>-0.728229105786089</v>
      </c>
      <c r="G1673">
        <v>-0.740947075208913</v>
      </c>
      <c r="H1673">
        <v>-0.824130105900151</v>
      </c>
      <c r="I1673">
        <v>-0.824130105900151</v>
      </c>
    </row>
    <row r="1674" spans="1:9">
      <c r="A1674" s="1" t="s">
        <v>1686</v>
      </c>
      <c r="B1674">
        <f>HYPERLINK("https://www.suredividend.com/sure-analysis-research-database/","Interface Inc.")</f>
        <v>0</v>
      </c>
      <c r="C1674">
        <v>-0.033050047214353</v>
      </c>
      <c r="D1674">
        <v>-0.198032673903168</v>
      </c>
      <c r="E1674">
        <v>-0.203695351260556</v>
      </c>
      <c r="F1674">
        <v>-0.356492886229953</v>
      </c>
      <c r="G1674">
        <v>-0.345774688380472</v>
      </c>
      <c r="H1674">
        <v>0.493495128638936</v>
      </c>
      <c r="I1674">
        <v>-0.508243169910628</v>
      </c>
    </row>
    <row r="1675" spans="1:9">
      <c r="A1675" s="1" t="s">
        <v>1687</v>
      </c>
      <c r="B1675">
        <f>HYPERLINK("https://www.suredividend.com/sure-analysis-research-database/","Tiptree Inc")</f>
        <v>0</v>
      </c>
      <c r="C1675">
        <v>-0.105833333333333</v>
      </c>
      <c r="D1675">
        <v>-0.03279309163677</v>
      </c>
      <c r="E1675">
        <v>-0.108389284052383</v>
      </c>
      <c r="F1675">
        <v>-0.216353597616195</v>
      </c>
      <c r="G1675">
        <v>0.036424576688657</v>
      </c>
      <c r="H1675">
        <v>1.139709254790914</v>
      </c>
      <c r="I1675">
        <v>0.610579087988952</v>
      </c>
    </row>
    <row r="1676" spans="1:9">
      <c r="A1676" s="1" t="s">
        <v>1688</v>
      </c>
      <c r="B1676">
        <f>HYPERLINK("https://www.suredividend.com/sure-analysis-research-database/","Team, Inc.")</f>
        <v>0</v>
      </c>
      <c r="C1676">
        <v>-0.328571428571428</v>
      </c>
      <c r="D1676">
        <v>0.196842373312961</v>
      </c>
      <c r="E1676">
        <v>-0.584070796460177</v>
      </c>
      <c r="F1676">
        <v>-0.137614678899082</v>
      </c>
      <c r="G1676">
        <v>-0.6666666666666661</v>
      </c>
      <c r="H1676">
        <v>-0.8409475465313021</v>
      </c>
      <c r="I1676">
        <v>-0.9248000000000001</v>
      </c>
    </row>
    <row r="1677" spans="1:9">
      <c r="A1677" s="1" t="s">
        <v>1689</v>
      </c>
      <c r="B1677">
        <f>HYPERLINK("https://www.suredividend.com/sure-analysis-research-database/","Titan Machinery Inc")</f>
        <v>0</v>
      </c>
      <c r="C1677">
        <v>-0.034341524889729</v>
      </c>
      <c r="D1677">
        <v>0.341356673960612</v>
      </c>
      <c r="E1677">
        <v>0.240388506677458</v>
      </c>
      <c r="F1677">
        <v>-0.090234490946868</v>
      </c>
      <c r="G1677">
        <v>0.134344929681717</v>
      </c>
      <c r="H1677">
        <v>1.013797634691195</v>
      </c>
      <c r="I1677">
        <v>0.9276729559748421</v>
      </c>
    </row>
    <row r="1678" spans="1:9">
      <c r="A1678" s="1" t="s">
        <v>1690</v>
      </c>
      <c r="B1678">
        <f>HYPERLINK("https://www.suredividend.com/sure-analysis-research-database/","Teekay Corp")</f>
        <v>0</v>
      </c>
      <c r="C1678">
        <v>-0.077777777777777</v>
      </c>
      <c r="D1678">
        <v>0.194244604316546</v>
      </c>
      <c r="E1678">
        <v>-0.04597701149425201</v>
      </c>
      <c r="F1678">
        <v>0.057324840764331</v>
      </c>
      <c r="G1678">
        <v>-0.09289617486338801</v>
      </c>
      <c r="H1678">
        <v>0.475555555555555</v>
      </c>
      <c r="I1678">
        <v>-0.605447674280417</v>
      </c>
    </row>
    <row r="1679" spans="1:9">
      <c r="A1679" s="1" t="s">
        <v>1691</v>
      </c>
      <c r="B1679">
        <f>HYPERLINK("https://www.suredividend.com/sure-analysis-research-database/","Alpha Teknova Inc")</f>
        <v>0</v>
      </c>
      <c r="C1679">
        <v>-0.20935412026726</v>
      </c>
      <c r="D1679">
        <v>-0.5649509803921561</v>
      </c>
      <c r="E1679">
        <v>-0.734082397003745</v>
      </c>
      <c r="F1679">
        <v>-0.82666015625</v>
      </c>
      <c r="G1679">
        <v>-0.85839648982848</v>
      </c>
      <c r="H1679">
        <v>-0.858</v>
      </c>
      <c r="I1679">
        <v>-0.858</v>
      </c>
    </row>
    <row r="1680" spans="1:9">
      <c r="A1680" s="1" t="s">
        <v>1692</v>
      </c>
      <c r="B1680">
        <f>HYPERLINK("https://www.suredividend.com/sure-analysis-research-database/","Talis Biomedical Corp")</f>
        <v>0</v>
      </c>
      <c r="C1680">
        <v>-0.224950011108642</v>
      </c>
      <c r="D1680">
        <v>-0.21288357400722</v>
      </c>
      <c r="E1680">
        <v>-0.479328358208955</v>
      </c>
      <c r="F1680">
        <v>-0.8260099750623441</v>
      </c>
      <c r="G1680">
        <v>-0.8786608695652171</v>
      </c>
      <c r="H1680">
        <v>-0.9749028776978411</v>
      </c>
      <c r="I1680">
        <v>-0.9749028776978411</v>
      </c>
    </row>
    <row r="1681" spans="1:9">
      <c r="A1681" s="1" t="s">
        <v>1693</v>
      </c>
      <c r="B1681">
        <f>HYPERLINK("https://www.suredividend.com/sure-analysis-research-database/","Telos Corp")</f>
        <v>0</v>
      </c>
      <c r="C1681">
        <v>-0.224770642201834</v>
      </c>
      <c r="D1681">
        <v>0.025485436893203</v>
      </c>
      <c r="E1681">
        <v>-0.141260162601626</v>
      </c>
      <c r="F1681">
        <v>-0.452010376134889</v>
      </c>
      <c r="G1681">
        <v>-0.682330827067669</v>
      </c>
      <c r="H1681">
        <v>-0.583538689009364</v>
      </c>
      <c r="I1681">
        <v>-0.583538689009364</v>
      </c>
    </row>
    <row r="1682" spans="1:9">
      <c r="A1682" s="1" t="s">
        <v>1694</v>
      </c>
      <c r="B1682">
        <f>HYPERLINK("https://www.suredividend.com/sure-analysis-research-database/","Tillys Inc")</f>
        <v>0</v>
      </c>
      <c r="C1682">
        <v>0.05840455840455801</v>
      </c>
      <c r="D1682">
        <v>-0.02875816993464</v>
      </c>
      <c r="E1682">
        <v>-0.187089715536105</v>
      </c>
      <c r="F1682">
        <v>-0.538795779019242</v>
      </c>
      <c r="G1682">
        <v>-0.427717571304234</v>
      </c>
      <c r="H1682">
        <v>0.257021046220477</v>
      </c>
      <c r="I1682">
        <v>-0.09480763139299701</v>
      </c>
    </row>
    <row r="1683" spans="1:9">
      <c r="A1683" s="1" t="s">
        <v>1695</v>
      </c>
      <c r="B1683">
        <f>HYPERLINK("https://www.suredividend.com/sure-analysis-research-database/","Treace Medical Concepts Inc")</f>
        <v>0</v>
      </c>
      <c r="C1683">
        <v>-0.069273268168295</v>
      </c>
      <c r="D1683">
        <v>0.307462686567164</v>
      </c>
      <c r="E1683">
        <v>0.09226932668329101</v>
      </c>
      <c r="F1683">
        <v>0.17489270386266</v>
      </c>
      <c r="G1683">
        <v>-0.138812426268187</v>
      </c>
      <c r="H1683">
        <v>-0.142185663924794</v>
      </c>
      <c r="I1683">
        <v>-0.142185663924794</v>
      </c>
    </row>
    <row r="1684" spans="1:9">
      <c r="A1684" s="1" t="s">
        <v>1696</v>
      </c>
      <c r="B1684">
        <f>HYPERLINK("https://www.suredividend.com/sure-analysis-research-database/","Transmedics Group Inc")</f>
        <v>0</v>
      </c>
      <c r="C1684">
        <v>-0.245926203408878</v>
      </c>
      <c r="D1684">
        <v>0.201791044776119</v>
      </c>
      <c r="E1684">
        <v>0.483419307295504</v>
      </c>
      <c r="F1684">
        <v>1.10125260960334</v>
      </c>
      <c r="G1684">
        <v>0.46934306569343</v>
      </c>
      <c r="H1684">
        <v>2.0067214339059</v>
      </c>
      <c r="I1684">
        <v>0.8005366726296951</v>
      </c>
    </row>
    <row r="1685" spans="1:9">
      <c r="A1685" s="1" t="s">
        <v>1697</v>
      </c>
      <c r="B1685">
        <f>HYPERLINK("https://www.suredividend.com/sure-analysis-research-database/","Taylor Morrison Home Corp.")</f>
        <v>0</v>
      </c>
      <c r="C1685">
        <v>0.025844930417495</v>
      </c>
      <c r="D1685">
        <v>0.017350157728706</v>
      </c>
      <c r="E1685">
        <v>-0.002320185614849</v>
      </c>
      <c r="F1685">
        <v>-0.262013729977116</v>
      </c>
      <c r="G1685">
        <v>-0.031167855801727</v>
      </c>
      <c r="H1685">
        <v>-0.05736207526488801</v>
      </c>
      <c r="I1685">
        <v>0.6785946649316851</v>
      </c>
    </row>
    <row r="1686" spans="1:9">
      <c r="A1686" s="1" t="s">
        <v>1698</v>
      </c>
      <c r="B1686">
        <f>HYPERLINK("https://www.suredividend.com/sure-analysis-TMP/","Tompkins Financial Corp")</f>
        <v>0</v>
      </c>
      <c r="C1686">
        <v>-0.014602416036107</v>
      </c>
      <c r="D1686">
        <v>0.032195086679079</v>
      </c>
      <c r="E1686">
        <v>0.004177421362207</v>
      </c>
      <c r="F1686">
        <v>-0.09184224016325501</v>
      </c>
      <c r="G1686">
        <v>-0.07542688174855501</v>
      </c>
      <c r="H1686">
        <v>0.361111773259278</v>
      </c>
      <c r="I1686">
        <v>-0.030035829742083</v>
      </c>
    </row>
    <row r="1687" spans="1:9">
      <c r="A1687" s="1" t="s">
        <v>1699</v>
      </c>
      <c r="B1687">
        <f>HYPERLINK("https://www.suredividend.com/sure-analysis-research-database/","TimkenSteel Corp")</f>
        <v>0</v>
      </c>
      <c r="C1687">
        <v>0.02890528905289</v>
      </c>
      <c r="D1687">
        <v>-0.036845135290731</v>
      </c>
      <c r="E1687">
        <v>-0.168075584286424</v>
      </c>
      <c r="F1687">
        <v>0.013939393939393</v>
      </c>
      <c r="G1687">
        <v>0.21231884057971</v>
      </c>
      <c r="H1687">
        <v>3.300771208226221</v>
      </c>
      <c r="I1687">
        <v>0.0005980861244010001</v>
      </c>
    </row>
    <row r="1688" spans="1:9">
      <c r="A1688" s="1" t="s">
        <v>1700</v>
      </c>
      <c r="B1688">
        <f>HYPERLINK("https://www.suredividend.com/sure-analysis-TNC/","Tennant Co.")</f>
        <v>0</v>
      </c>
      <c r="C1688">
        <v>-0.06619924995923601</v>
      </c>
      <c r="D1688">
        <v>-0.02823497471748</v>
      </c>
      <c r="E1688">
        <v>-0.204123493574064</v>
      </c>
      <c r="F1688">
        <v>-0.285287301525893</v>
      </c>
      <c r="G1688">
        <v>-0.249155348932337</v>
      </c>
      <c r="H1688">
        <v>-0.07751930492601701</v>
      </c>
      <c r="I1688">
        <v>-0.094279108164614</v>
      </c>
    </row>
    <row r="1689" spans="1:9">
      <c r="A1689" s="1" t="s">
        <v>1701</v>
      </c>
      <c r="B1689">
        <f>HYPERLINK("https://www.suredividend.com/sure-analysis-research-database/","TriNet Group Inc")</f>
        <v>0</v>
      </c>
      <c r="C1689">
        <v>-0.134128529698149</v>
      </c>
      <c r="D1689">
        <v>-0.119990103908956</v>
      </c>
      <c r="E1689">
        <v>-0.250289809252819</v>
      </c>
      <c r="F1689">
        <v>-0.253201763594373</v>
      </c>
      <c r="G1689">
        <v>-0.288315326130452</v>
      </c>
      <c r="H1689">
        <v>0.081812652068126</v>
      </c>
      <c r="I1689">
        <v>1.044840471399827</v>
      </c>
    </row>
    <row r="1690" spans="1:9">
      <c r="A1690" s="1" t="s">
        <v>1702</v>
      </c>
      <c r="B1690">
        <f>HYPERLINK("https://www.suredividend.com/sure-analysis-research-database/","Teekay Tankers Ltd")</f>
        <v>0</v>
      </c>
      <c r="C1690">
        <v>-0.012509197939661</v>
      </c>
      <c r="D1690">
        <v>0.6276531231049121</v>
      </c>
      <c r="E1690">
        <v>0.603345280764635</v>
      </c>
      <c r="F1690">
        <v>1.462385321100917</v>
      </c>
      <c r="G1690">
        <v>0.9435191889934821</v>
      </c>
      <c r="H1690">
        <v>1.368932038834951</v>
      </c>
      <c r="I1690">
        <v>1.172030654441576</v>
      </c>
    </row>
    <row r="1691" spans="1:9">
      <c r="A1691" s="1" t="s">
        <v>1703</v>
      </c>
      <c r="B1691">
        <f>HYPERLINK("https://www.suredividend.com/sure-analysis-research-database/","Tonix Pharmaceuticals Holding Corp")</f>
        <v>0</v>
      </c>
      <c r="C1691">
        <v>-0.502475247524752</v>
      </c>
      <c r="D1691">
        <v>-0.6991017964071851</v>
      </c>
      <c r="E1691">
        <v>-0.9241394927536231</v>
      </c>
      <c r="F1691">
        <v>-0.9560997344143131</v>
      </c>
      <c r="G1691">
        <v>-0.9702197515645741</v>
      </c>
      <c r="H1691">
        <v>-0.9795505599687461</v>
      </c>
      <c r="I1691">
        <v>-0.9999668010042281</v>
      </c>
    </row>
    <row r="1692" spans="1:9">
      <c r="A1692" s="1" t="s">
        <v>1704</v>
      </c>
      <c r="B1692">
        <f>HYPERLINK("https://www.suredividend.com/sure-analysis-research-database/","Tenaya Therapeutics Inc")</f>
        <v>0</v>
      </c>
      <c r="C1692">
        <v>-0.444444444444444</v>
      </c>
      <c r="D1692">
        <v>-0.533450704225352</v>
      </c>
      <c r="E1692">
        <v>-0.8096264367816091</v>
      </c>
      <c r="F1692">
        <v>-0.860158311345646</v>
      </c>
      <c r="G1692">
        <v>-0.8888422818791941</v>
      </c>
      <c r="H1692">
        <v>-0.827361563517915</v>
      </c>
      <c r="I1692">
        <v>-0.827361563517915</v>
      </c>
    </row>
    <row r="1693" spans="1:9">
      <c r="A1693" s="1" t="s">
        <v>1705</v>
      </c>
      <c r="B1693">
        <f>HYPERLINK("https://www.suredividend.com/sure-analysis-research-database/","Townebank Portsmouth VA")</f>
        <v>0</v>
      </c>
      <c r="C1693">
        <v>-0.031139671779606</v>
      </c>
      <c r="D1693">
        <v>0.004707164619092001</v>
      </c>
      <c r="E1693">
        <v>-0.036204603903599</v>
      </c>
      <c r="F1693">
        <v>-0.109966303784344</v>
      </c>
      <c r="G1693">
        <v>-0.115827555795884</v>
      </c>
      <c r="H1693">
        <v>0.590131575139071</v>
      </c>
      <c r="I1693">
        <v>-0.093886786975983</v>
      </c>
    </row>
    <row r="1694" spans="1:9">
      <c r="A1694" s="1" t="s">
        <v>1706</v>
      </c>
      <c r="B1694">
        <f>HYPERLINK("https://www.suredividend.com/sure-analysis-research-database/","Turning Point Brands Inc")</f>
        <v>0</v>
      </c>
      <c r="C1694">
        <v>-0.164901638864867</v>
      </c>
      <c r="D1694">
        <v>-0.265848167558495</v>
      </c>
      <c r="E1694">
        <v>-0.352890143471279</v>
      </c>
      <c r="F1694">
        <v>-0.467279956508298</v>
      </c>
      <c r="G1694">
        <v>-0.5801399253535411</v>
      </c>
      <c r="H1694">
        <v>-0.329451149560235</v>
      </c>
      <c r="I1694">
        <v>0.152606482042056</v>
      </c>
    </row>
    <row r="1695" spans="1:9">
      <c r="A1695" s="1" t="s">
        <v>1707</v>
      </c>
      <c r="B1695">
        <f>HYPERLINK("https://www.suredividend.com/sure-analysis-research-database/","Tutor Perini Corp")</f>
        <v>0</v>
      </c>
      <c r="C1695">
        <v>-0.141414141414141</v>
      </c>
      <c r="D1695">
        <v>-0.314516129032258</v>
      </c>
      <c r="E1695">
        <v>-0.407960199004975</v>
      </c>
      <c r="F1695">
        <v>-0.518997574777687</v>
      </c>
      <c r="G1695">
        <v>-0.5475285171102661</v>
      </c>
      <c r="H1695">
        <v>-0.5865184155663651</v>
      </c>
      <c r="I1695">
        <v>-0.79553264604811</v>
      </c>
    </row>
    <row r="1696" spans="1:9">
      <c r="A1696" s="1" t="s">
        <v>1708</v>
      </c>
      <c r="B1696">
        <f>HYPERLINK("https://www.suredividend.com/sure-analysis-research-database/","Tri Pointe Homes Inc.")</f>
        <v>0</v>
      </c>
      <c r="C1696">
        <v>-0.064760793465577</v>
      </c>
      <c r="D1696">
        <v>-0.140943193997856</v>
      </c>
      <c r="E1696">
        <v>-0.162049137480397</v>
      </c>
      <c r="F1696">
        <v>-0.42524202223019</v>
      </c>
      <c r="G1696">
        <v>-0.291648254529385</v>
      </c>
      <c r="H1696">
        <v>-0.156315789473684</v>
      </c>
      <c r="I1696">
        <v>0.11088011088011</v>
      </c>
    </row>
    <row r="1697" spans="1:9">
      <c r="A1697" s="1" t="s">
        <v>1709</v>
      </c>
      <c r="B1697">
        <f>HYPERLINK("https://www.suredividend.com/sure-analysis-research-database/","TPI Composites Inc")</f>
        <v>0</v>
      </c>
      <c r="C1697">
        <v>-0.369711833231146</v>
      </c>
      <c r="D1697">
        <v>-0.231114435302916</v>
      </c>
      <c r="E1697">
        <v>-0.231114435302916</v>
      </c>
      <c r="F1697">
        <v>-0.31283422459893</v>
      </c>
      <c r="G1697">
        <v>-0.6745805634694521</v>
      </c>
      <c r="H1697">
        <v>-0.7106670419363911</v>
      </c>
      <c r="I1697">
        <v>-0.547136563876652</v>
      </c>
    </row>
    <row r="1698" spans="1:9">
      <c r="A1698" s="1" t="s">
        <v>1710</v>
      </c>
      <c r="B1698">
        <f>HYPERLINK("https://www.suredividend.com/sure-analysis-research-database/","Turning Point Therapeutics Inc")</f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>
      <c r="A1699" s="1" t="s">
        <v>1711</v>
      </c>
      <c r="B1699">
        <f>HYPERLINK("https://www.suredividend.com/sure-analysis-TR/","Tootsie Roll Industries, Inc.")</f>
        <v>0</v>
      </c>
      <c r="C1699">
        <v>-0.005292936667275001</v>
      </c>
      <c r="D1699">
        <v>-0.00670644017599</v>
      </c>
      <c r="E1699">
        <v>-0.030356944290003</v>
      </c>
      <c r="F1699">
        <v>-0.000389756287685</v>
      </c>
      <c r="G1699">
        <v>0.162860476746124</v>
      </c>
      <c r="H1699">
        <v>0.183391801754731</v>
      </c>
      <c r="I1699">
        <v>0.06697011688339501</v>
      </c>
    </row>
    <row r="1700" spans="1:9">
      <c r="A1700" s="1" t="s">
        <v>1712</v>
      </c>
      <c r="B1700">
        <f>HYPERLINK("https://www.suredividend.com/sure-analysis-research-database/","Tejon Ranch Co.")</f>
        <v>0</v>
      </c>
      <c r="C1700">
        <v>-0.163218390804597</v>
      </c>
      <c r="D1700">
        <v>-0.07083599234205401</v>
      </c>
      <c r="E1700">
        <v>-0.2026286966046</v>
      </c>
      <c r="F1700">
        <v>-0.236897274633123</v>
      </c>
      <c r="G1700">
        <v>-0.198679141441937</v>
      </c>
      <c r="H1700">
        <v>-0.075555555555555</v>
      </c>
      <c r="I1700">
        <v>-0.234087322461862</v>
      </c>
    </row>
    <row r="1701" spans="1:9">
      <c r="A1701" s="1" t="s">
        <v>1713</v>
      </c>
      <c r="B1701">
        <f>HYPERLINK("https://www.suredividend.com/sure-analysis-research-database/","Entrada Therapeutics Inc")</f>
        <v>0</v>
      </c>
      <c r="C1701">
        <v>-0.018096514745308</v>
      </c>
      <c r="D1701">
        <v>0.244689889549702</v>
      </c>
      <c r="E1701">
        <v>0.9877883310719131</v>
      </c>
      <c r="F1701">
        <v>-0.144275700934579</v>
      </c>
      <c r="G1701">
        <v>-0.3883089770354901</v>
      </c>
      <c r="H1701">
        <v>-0.3883089770354901</v>
      </c>
      <c r="I1701">
        <v>-0.3883089770354901</v>
      </c>
    </row>
    <row r="1702" spans="1:9">
      <c r="A1702" s="1" t="s">
        <v>1714</v>
      </c>
      <c r="B1702">
        <f>HYPERLINK("https://www.suredividend.com/sure-analysis-research-database/","LendingTree Inc.")</f>
        <v>0</v>
      </c>
      <c r="C1702">
        <v>-0.323806881243063</v>
      </c>
      <c r="D1702">
        <v>-0.480605285592497</v>
      </c>
      <c r="E1702">
        <v>-0.7759286502390581</v>
      </c>
      <c r="F1702">
        <v>-0.801223491027732</v>
      </c>
      <c r="G1702">
        <v>-0.8218957830885041</v>
      </c>
      <c r="H1702">
        <v>-0.9253667350626281</v>
      </c>
      <c r="I1702">
        <v>-0.906735553004209</v>
      </c>
    </row>
    <row r="1703" spans="1:9">
      <c r="A1703" s="1" t="s">
        <v>1715</v>
      </c>
      <c r="B1703">
        <f>HYPERLINK("https://www.suredividend.com/sure-analysis-research-database/","Tabula Rasa HealthCare Inc")</f>
        <v>0</v>
      </c>
      <c r="C1703">
        <v>-0.026143790849673</v>
      </c>
      <c r="D1703">
        <v>0.719230769230769</v>
      </c>
      <c r="E1703">
        <v>-0.098790322580645</v>
      </c>
      <c r="F1703">
        <v>-0.7020000000000001</v>
      </c>
      <c r="G1703">
        <v>-0.8204819277108431</v>
      </c>
      <c r="H1703">
        <v>-0.8954874912321721</v>
      </c>
      <c r="I1703">
        <v>-0.8360234776228901</v>
      </c>
    </row>
    <row r="1704" spans="1:9">
      <c r="A1704" s="1" t="s">
        <v>1716</v>
      </c>
      <c r="B1704">
        <f>HYPERLINK("https://www.suredividend.com/sure-analysis-research-database/","Trustmark Corp.")</f>
        <v>0</v>
      </c>
      <c r="C1704">
        <v>0.005047318611987</v>
      </c>
      <c r="D1704">
        <v>0.058756675384405</v>
      </c>
      <c r="E1704">
        <v>0.08232608385479301</v>
      </c>
      <c r="F1704">
        <v>-0.004231858329634</v>
      </c>
      <c r="G1704">
        <v>-0.023681694491432</v>
      </c>
      <c r="H1704">
        <v>0.455638658034567</v>
      </c>
      <c r="I1704">
        <v>0.083890984925546</v>
      </c>
    </row>
    <row r="1705" spans="1:9">
      <c r="A1705" s="1" t="s">
        <v>1717</v>
      </c>
      <c r="B1705">
        <f>HYPERLINK("https://www.suredividend.com/sure-analysis-TRN/","Trinity Industries, Inc.")</f>
        <v>0</v>
      </c>
      <c r="C1705">
        <v>-0.03915910964550701</v>
      </c>
      <c r="D1705">
        <v>0.05171495862622801</v>
      </c>
      <c r="E1705">
        <v>-0.241327010515969</v>
      </c>
      <c r="F1705">
        <v>-0.20824431318336</v>
      </c>
      <c r="G1705">
        <v>-0.152160154800788</v>
      </c>
      <c r="H1705">
        <v>0.218555924973339</v>
      </c>
      <c r="I1705">
        <v>0.09888037713612201</v>
      </c>
    </row>
    <row r="1706" spans="1:9">
      <c r="A1706" s="1" t="s">
        <v>1718</v>
      </c>
      <c r="B1706">
        <f>HYPERLINK("https://www.suredividend.com/sure-analysis-research-database/","Terreno Realty Corp")</f>
        <v>0</v>
      </c>
      <c r="C1706">
        <v>-0.190728898937831</v>
      </c>
      <c r="D1706">
        <v>-0.088924470339172</v>
      </c>
      <c r="E1706">
        <v>-0.31902357800809</v>
      </c>
      <c r="F1706">
        <v>-0.3905969976395181</v>
      </c>
      <c r="G1706">
        <v>-0.203278048780487</v>
      </c>
      <c r="H1706">
        <v>-0.117295576274205</v>
      </c>
      <c r="I1706">
        <v>0.5398446880788741</v>
      </c>
    </row>
    <row r="1707" spans="1:9">
      <c r="A1707" s="1" t="s">
        <v>1719</v>
      </c>
      <c r="B1707">
        <f>HYPERLINK("https://www.suredividend.com/sure-analysis-research-database/","Transcat Inc")</f>
        <v>0</v>
      </c>
      <c r="C1707">
        <v>-0.006531500884473001</v>
      </c>
      <c r="D1707">
        <v>0.288108680310515</v>
      </c>
      <c r="E1707">
        <v>-0.06036036036036001</v>
      </c>
      <c r="F1707">
        <v>-0.210104944282159</v>
      </c>
      <c r="G1707">
        <v>0.056278935185185</v>
      </c>
      <c r="H1707">
        <v>1.509797181161911</v>
      </c>
      <c r="I1707">
        <v>4.00068493150685</v>
      </c>
    </row>
    <row r="1708" spans="1:9">
      <c r="A1708" s="1" t="s">
        <v>1720</v>
      </c>
      <c r="B1708">
        <f>HYPERLINK("https://www.suredividend.com/sure-analysis-research-database/","Tronox Holdings plc")</f>
        <v>0</v>
      </c>
      <c r="C1708">
        <v>-0.157318741450068</v>
      </c>
      <c r="D1708">
        <v>-0.213578536822014</v>
      </c>
      <c r="E1708">
        <v>-0.326963523826693</v>
      </c>
      <c r="F1708">
        <v>-0.47621497293919</v>
      </c>
      <c r="G1708">
        <v>-0.48814890213756</v>
      </c>
      <c r="H1708">
        <v>0.422961422961423</v>
      </c>
      <c r="I1708">
        <v>-0.462925746868883</v>
      </c>
    </row>
    <row r="1709" spans="1:9">
      <c r="A1709" s="1" t="s">
        <v>1721</v>
      </c>
      <c r="B1709">
        <f>HYPERLINK("https://www.suredividend.com/sure-analysis-research-database/","Trimas Corporation")</f>
        <v>0</v>
      </c>
      <c r="C1709">
        <v>-0.039912120102526</v>
      </c>
      <c r="D1709">
        <v>-0.019186096532736</v>
      </c>
      <c r="E1709">
        <v>-0.145510835913312</v>
      </c>
      <c r="F1709">
        <v>-0.288497650034191</v>
      </c>
      <c r="G1709">
        <v>-0.19960682440497</v>
      </c>
      <c r="H1709">
        <v>0.06578867142247401</v>
      </c>
      <c r="I1709">
        <v>-0.05361068098883601</v>
      </c>
    </row>
    <row r="1710" spans="1:9">
      <c r="A1710" s="1" t="s">
        <v>1722</v>
      </c>
      <c r="B1710">
        <f>HYPERLINK("https://www.suredividend.com/sure-analysis-TRST/","Trustco Bank Corp.")</f>
        <v>0</v>
      </c>
      <c r="C1710">
        <v>-0.042840023966447</v>
      </c>
      <c r="D1710">
        <v>0.036563605100087</v>
      </c>
      <c r="E1710">
        <v>0.05507177460100401</v>
      </c>
      <c r="F1710">
        <v>-0.009851896156861</v>
      </c>
      <c r="G1710">
        <v>-0.000240943497185</v>
      </c>
      <c r="H1710">
        <v>0.230782269030898</v>
      </c>
      <c r="I1710">
        <v>-0.165861681852596</v>
      </c>
    </row>
    <row r="1711" spans="1:9">
      <c r="A1711" s="1" t="s">
        <v>1723</v>
      </c>
      <c r="B1711">
        <f>HYPERLINK("https://www.suredividend.com/sure-analysis-TRTN/","Triton International Ltd")</f>
        <v>0</v>
      </c>
      <c r="C1711">
        <v>-0.120154415312851</v>
      </c>
      <c r="D1711">
        <v>0.036835131841074</v>
      </c>
      <c r="E1711">
        <v>-0.048167592107621</v>
      </c>
      <c r="F1711">
        <v>-0.06337380631529101</v>
      </c>
      <c r="G1711">
        <v>0.07657032641533501</v>
      </c>
      <c r="H1711">
        <v>0.5590397227360431</v>
      </c>
      <c r="I1711">
        <v>1.011428739529171</v>
      </c>
    </row>
    <row r="1712" spans="1:9">
      <c r="A1712" s="1" t="s">
        <v>1724</v>
      </c>
      <c r="B1712">
        <f>HYPERLINK("https://www.suredividend.com/sure-analysis-research-database/","TPG RE Finance Trust Inc")</f>
        <v>0</v>
      </c>
      <c r="C1712">
        <v>-0.203454008127077</v>
      </c>
      <c r="D1712">
        <v>-0.256000517564857</v>
      </c>
      <c r="E1712">
        <v>-0.3537994718013071</v>
      </c>
      <c r="F1712">
        <v>-0.3963729890034901</v>
      </c>
      <c r="G1712">
        <v>-0.402721512413005</v>
      </c>
      <c r="H1712">
        <v>-0.056603773584905</v>
      </c>
      <c r="I1712">
        <v>-0.367297535211267</v>
      </c>
    </row>
    <row r="1713" spans="1:9">
      <c r="A1713" s="1" t="s">
        <v>1725</v>
      </c>
      <c r="B1713">
        <f>HYPERLINK("https://www.suredividend.com/sure-analysis-research-database/","Trupanion Inc")</f>
        <v>0</v>
      </c>
      <c r="C1713">
        <v>-0.299378546338827</v>
      </c>
      <c r="D1713">
        <v>-0.219093510013552</v>
      </c>
      <c r="E1713">
        <v>-0.389595103578154</v>
      </c>
      <c r="F1713">
        <v>-0.6072104824661061</v>
      </c>
      <c r="G1713">
        <v>-0.390312720432635</v>
      </c>
      <c r="H1713">
        <v>-0.423649699933318</v>
      </c>
      <c r="I1713">
        <v>0.8442389758179231</v>
      </c>
    </row>
    <row r="1714" spans="1:9">
      <c r="A1714" s="1" t="s">
        <v>1726</v>
      </c>
      <c r="B1714">
        <f>HYPERLINK("https://www.suredividend.com/sure-analysis-research-database/","Trevena Inc")</f>
        <v>0</v>
      </c>
      <c r="C1714">
        <v>-0.150455198850023</v>
      </c>
      <c r="D1714">
        <v>-0.533421052631578</v>
      </c>
      <c r="E1714">
        <v>-0.5836073273837481</v>
      </c>
      <c r="F1714">
        <v>-0.695622317596566</v>
      </c>
      <c r="G1714">
        <v>-0.847155172413793</v>
      </c>
      <c r="H1714">
        <v>-0.9437142857142851</v>
      </c>
      <c r="I1714">
        <v>-0.9276326530612241</v>
      </c>
    </row>
    <row r="1715" spans="1:9">
      <c r="A1715" s="1" t="s">
        <v>1727</v>
      </c>
      <c r="B1715">
        <f>HYPERLINK("https://www.suredividend.com/sure-analysis-research-database/","Telesat Corp")</f>
        <v>0</v>
      </c>
      <c r="C1715">
        <v>-0.3584229390681</v>
      </c>
      <c r="D1715">
        <v>-0.383820998278829</v>
      </c>
      <c r="E1715">
        <v>-0.506887052341597</v>
      </c>
      <c r="F1715">
        <v>-0.7502615974886641</v>
      </c>
      <c r="G1715">
        <v>-0.818734177215189</v>
      </c>
      <c r="H1715">
        <v>-0.818734177215189</v>
      </c>
      <c r="I1715">
        <v>-0.818734177215189</v>
      </c>
    </row>
    <row r="1716" spans="1:9">
      <c r="A1716" s="1" t="s">
        <v>1728</v>
      </c>
      <c r="B1716">
        <f>HYPERLINK("https://www.suredividend.com/sure-analysis-research-database/","Tristate Capital Holdings Inc")</f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>
      <c r="A1717" s="1" t="s">
        <v>1729</v>
      </c>
      <c r="B1717">
        <f>HYPERLINK("https://www.suredividend.com/sure-analysis-research-database/","Trinseo PLC")</f>
        <v>0</v>
      </c>
      <c r="C1717">
        <v>-0.301040373078611</v>
      </c>
      <c r="D1717">
        <v>-0.5279289688934831</v>
      </c>
      <c r="E1717">
        <v>-0.5865806245450831</v>
      </c>
      <c r="F1717">
        <v>-0.6314416112905871</v>
      </c>
      <c r="G1717">
        <v>-0.6506217732210871</v>
      </c>
      <c r="H1717">
        <v>-0.6506217732210871</v>
      </c>
      <c r="I1717">
        <v>-0.6506217732210871</v>
      </c>
    </row>
    <row r="1718" spans="1:9">
      <c r="A1718" s="1" t="s">
        <v>1730</v>
      </c>
      <c r="B1718">
        <f>HYPERLINK("https://www.suredividend.com/sure-analysis-research-database/","Taysha Gene Therapies Inc")</f>
        <v>0</v>
      </c>
      <c r="C1718">
        <v>-0.470760233918128</v>
      </c>
      <c r="D1718">
        <v>-0.5904977375565611</v>
      </c>
      <c r="E1718">
        <v>-0.693739424703891</v>
      </c>
      <c r="F1718">
        <v>-0.844635193133047</v>
      </c>
      <c r="G1718">
        <v>-0.9028448738593661</v>
      </c>
      <c r="H1718">
        <v>-0.9105289174493321</v>
      </c>
      <c r="I1718">
        <v>-0.9247714048212801</v>
      </c>
    </row>
    <row r="1719" spans="1:9">
      <c r="A1719" s="1" t="s">
        <v>1731</v>
      </c>
      <c r="B1719">
        <f>HYPERLINK("https://www.suredividend.com/sure-analysis-research-database/","2seventy bio Inc")</f>
        <v>0</v>
      </c>
      <c r="C1719">
        <v>-0.147407870081199</v>
      </c>
      <c r="D1719">
        <v>-0.082044384667114</v>
      </c>
      <c r="E1719">
        <v>-0.1865315852205</v>
      </c>
      <c r="F1719">
        <v>-0.467420991026141</v>
      </c>
      <c r="G1719">
        <v>-0.593991671624033</v>
      </c>
      <c r="H1719">
        <v>-0.593991671624033</v>
      </c>
      <c r="I1719">
        <v>-0.593991671624033</v>
      </c>
    </row>
    <row r="1720" spans="1:9">
      <c r="A1720" s="1" t="s">
        <v>1732</v>
      </c>
      <c r="B1720">
        <f>HYPERLINK("https://www.suredividend.com/sure-analysis-research-database/","Tattooed Chef Inc")</f>
        <v>0</v>
      </c>
      <c r="C1720">
        <v>-0.3220088626292461</v>
      </c>
      <c r="D1720">
        <v>-0.318991097922848</v>
      </c>
      <c r="E1720">
        <v>-0.589812332439678</v>
      </c>
      <c r="F1720">
        <v>-0.704633204633204</v>
      </c>
      <c r="G1720">
        <v>-0.7448582545858811</v>
      </c>
      <c r="H1720">
        <v>-0.811885245901639</v>
      </c>
      <c r="I1720">
        <v>-0.5203761755485891</v>
      </c>
    </row>
    <row r="1721" spans="1:9">
      <c r="A1721" s="1" t="s">
        <v>1733</v>
      </c>
      <c r="B1721">
        <f>HYPERLINK("https://www.suredividend.com/sure-analysis-research-database/","TTEC Holdings Inc")</f>
        <v>0</v>
      </c>
      <c r="C1721">
        <v>-0.165391384191598</v>
      </c>
      <c r="D1721">
        <v>-0.345978057361456</v>
      </c>
      <c r="E1721">
        <v>-0.436700820095436</v>
      </c>
      <c r="F1721">
        <v>-0.510053834561474</v>
      </c>
      <c r="G1721">
        <v>-0.518664838262339</v>
      </c>
      <c r="H1721">
        <v>-0.210305307588164</v>
      </c>
      <c r="I1721">
        <v>0.122055344100401</v>
      </c>
    </row>
    <row r="1722" spans="1:9">
      <c r="A1722" s="1" t="s">
        <v>1734</v>
      </c>
      <c r="B1722">
        <f>HYPERLINK("https://www.suredividend.com/sure-analysis-research-database/","Tetra Tech, Inc.")</f>
        <v>0</v>
      </c>
      <c r="C1722">
        <v>-0.09282549664141701</v>
      </c>
      <c r="D1722">
        <v>-0.085911370484909</v>
      </c>
      <c r="E1722">
        <v>-0.176821044331704</v>
      </c>
      <c r="F1722">
        <v>-0.248796565589024</v>
      </c>
      <c r="G1722">
        <v>-0.191614440523327</v>
      </c>
      <c r="H1722">
        <v>0.250549177760221</v>
      </c>
      <c r="I1722">
        <v>1.714828588353289</v>
      </c>
    </row>
    <row r="1723" spans="1:9">
      <c r="A1723" s="1" t="s">
        <v>1735</v>
      </c>
      <c r="B1723">
        <f>HYPERLINK("https://www.suredividend.com/sure-analysis-research-database/","Techtarget Inc.")</f>
        <v>0</v>
      </c>
      <c r="C1723">
        <v>-0.020255863539445</v>
      </c>
      <c r="D1723">
        <v>-0.03393902988436701</v>
      </c>
      <c r="E1723">
        <v>-0.150085876601928</v>
      </c>
      <c r="F1723">
        <v>-0.327514112481706</v>
      </c>
      <c r="G1723">
        <v>-0.225965587775237</v>
      </c>
      <c r="H1723">
        <v>0.301173139158576</v>
      </c>
      <c r="I1723">
        <v>4.347464671654198</v>
      </c>
    </row>
    <row r="1724" spans="1:9">
      <c r="A1724" s="1" t="s">
        <v>1736</v>
      </c>
      <c r="B1724">
        <f>HYPERLINK("https://www.suredividend.com/sure-analysis-research-database/","Tetra Technologies, Inc.")</f>
        <v>0</v>
      </c>
      <c r="C1724">
        <v>-0.04830917874396101</v>
      </c>
      <c r="D1724">
        <v>-0.012531328320802</v>
      </c>
      <c r="E1724">
        <v>-0.019900497512437</v>
      </c>
      <c r="F1724">
        <v>0.387323943661972</v>
      </c>
      <c r="G1724">
        <v>0.152046783625731</v>
      </c>
      <c r="H1724">
        <v>6.562380038387715</v>
      </c>
      <c r="I1724">
        <v>0.437956204379562</v>
      </c>
    </row>
    <row r="1725" spans="1:9">
      <c r="A1725" s="1" t="s">
        <v>1737</v>
      </c>
      <c r="B1725">
        <f>HYPERLINK("https://www.suredividend.com/sure-analysis-research-database/","TTM Technologies Inc")</f>
        <v>0</v>
      </c>
      <c r="C1725">
        <v>-0.122171945701357</v>
      </c>
      <c r="D1725">
        <v>0.130724396336386</v>
      </c>
      <c r="E1725">
        <v>-0.016654598117306</v>
      </c>
      <c r="F1725">
        <v>-0.088590604026845</v>
      </c>
      <c r="G1725">
        <v>0.028009084027252</v>
      </c>
      <c r="H1725">
        <v>0.08553157474020701</v>
      </c>
      <c r="I1725">
        <v>-0.108338804990151</v>
      </c>
    </row>
    <row r="1726" spans="1:9">
      <c r="A1726" s="1" t="s">
        <v>1738</v>
      </c>
      <c r="B1726">
        <f>HYPERLINK("https://www.suredividend.com/sure-analysis-research-database/","Tupperware Brands Corporation")</f>
        <v>0</v>
      </c>
      <c r="C1726">
        <v>-0.340101522842639</v>
      </c>
      <c r="D1726">
        <v>-0.09090909090909001</v>
      </c>
      <c r="E1726">
        <v>-0.6646026831785341</v>
      </c>
      <c r="F1726">
        <v>-0.574885546108567</v>
      </c>
      <c r="G1726">
        <v>-0.7235219055720971</v>
      </c>
      <c r="H1726">
        <v>-0.70681100586378</v>
      </c>
      <c r="I1726">
        <v>-0.8805785875570231</v>
      </c>
    </row>
    <row r="1727" spans="1:9">
      <c r="A1727" s="1" t="s">
        <v>1739</v>
      </c>
      <c r="B1727">
        <f>HYPERLINK("https://www.suredividend.com/sure-analysis-research-database/","Travere Therapeutics Inc")</f>
        <v>0</v>
      </c>
      <c r="C1727">
        <v>-0.141236736187339</v>
      </c>
      <c r="D1727">
        <v>-0.067170111287758</v>
      </c>
      <c r="E1727">
        <v>-0.197606837606837</v>
      </c>
      <c r="F1727">
        <v>-0.243878865979381</v>
      </c>
      <c r="G1727">
        <v>-0.106585458698134</v>
      </c>
      <c r="H1727">
        <v>0.132175590931017</v>
      </c>
      <c r="I1727">
        <v>-0.03136607511349501</v>
      </c>
    </row>
    <row r="1728" spans="1:9">
      <c r="A1728" s="1" t="s">
        <v>1740</v>
      </c>
      <c r="B1728">
        <f>HYPERLINK("https://www.suredividend.com/sure-analysis-research-database/","Tivity Health Inc")</f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>
      <c r="A1729" s="1" t="s">
        <v>1741</v>
      </c>
      <c r="B1729">
        <f>HYPERLINK("https://www.suredividend.com/sure-analysis-research-database/","Titan International, Inc.")</f>
        <v>0</v>
      </c>
      <c r="C1729">
        <v>-0.046817849305047</v>
      </c>
      <c r="D1729">
        <v>-0.07457386363636301</v>
      </c>
      <c r="E1729">
        <v>0.0007680491551450001</v>
      </c>
      <c r="F1729">
        <v>0.188868613138686</v>
      </c>
      <c r="G1729">
        <v>0.8147632311977711</v>
      </c>
      <c r="H1729">
        <v>3.176282051282051</v>
      </c>
      <c r="I1729">
        <v>0.318665749099299</v>
      </c>
    </row>
    <row r="1730" spans="1:9">
      <c r="A1730" s="1" t="s">
        <v>1742</v>
      </c>
      <c r="B1730">
        <f>HYPERLINK("https://www.suredividend.com/sure-analysis-research-database/","Hostess Brands Inc")</f>
        <v>0</v>
      </c>
      <c r="C1730">
        <v>0.004206983592764</v>
      </c>
      <c r="D1730">
        <v>0.118556701030927</v>
      </c>
      <c r="E1730">
        <v>0.05293339214821301</v>
      </c>
      <c r="F1730">
        <v>0.168952007835455</v>
      </c>
      <c r="G1730">
        <v>0.287486515641855</v>
      </c>
      <c r="H1730">
        <v>0.8721568627450981</v>
      </c>
      <c r="I1730">
        <v>0.7098853868194841</v>
      </c>
    </row>
    <row r="1731" spans="1:9">
      <c r="A1731" s="1" t="s">
        <v>1743</v>
      </c>
      <c r="B1731">
        <f>HYPERLINK("https://www.suredividend.com/sure-analysis-TWO/","Two Harbors Investment Corp")</f>
        <v>0</v>
      </c>
      <c r="C1731">
        <v>-0.343600637280934</v>
      </c>
      <c r="D1731">
        <v>-0.324501573976915</v>
      </c>
      <c r="E1731">
        <v>-0.337790921949337</v>
      </c>
      <c r="F1731">
        <v>-0.398493313347998</v>
      </c>
      <c r="G1731">
        <v>-0.451553930530164</v>
      </c>
      <c r="H1731">
        <v>-0.272530370091345</v>
      </c>
      <c r="I1731">
        <v>-0.327105245965898</v>
      </c>
    </row>
    <row r="1732" spans="1:9">
      <c r="A1732" s="1" t="s">
        <v>1744</v>
      </c>
      <c r="B1732">
        <f>HYPERLINK("https://www.suredividend.com/sure-analysis-research-database/","2U Inc")</f>
        <v>0</v>
      </c>
      <c r="C1732">
        <v>-0.343358395989975</v>
      </c>
      <c r="D1732">
        <v>-0.5780998389694041</v>
      </c>
      <c r="E1732">
        <v>-0.5701394585726001</v>
      </c>
      <c r="F1732">
        <v>-0.7389138016940701</v>
      </c>
      <c r="G1732">
        <v>-0.844047619047619</v>
      </c>
      <c r="H1732">
        <v>-0.8608233731739701</v>
      </c>
      <c r="I1732">
        <v>-0.9106868927901821</v>
      </c>
    </row>
    <row r="1733" spans="1:9">
      <c r="A1733" s="1" t="s">
        <v>1745</v>
      </c>
      <c r="B1733">
        <f>HYPERLINK("https://www.suredividend.com/sure-analysis-research-database/","Twist Bioscience Corp")</f>
        <v>0</v>
      </c>
      <c r="C1733">
        <v>-0.304268846503178</v>
      </c>
      <c r="D1733">
        <v>-0.275136030281523</v>
      </c>
      <c r="E1733">
        <v>-0.333188248095756</v>
      </c>
      <c r="F1733">
        <v>-0.6040832148856441</v>
      </c>
      <c r="G1733">
        <v>-0.689091831557584</v>
      </c>
      <c r="H1733">
        <v>-0.6581883087907181</v>
      </c>
      <c r="I1733">
        <v>1.188571428571428</v>
      </c>
    </row>
    <row r="1734" spans="1:9">
      <c r="A1734" s="1" t="s">
        <v>1746</v>
      </c>
      <c r="B1734">
        <f>HYPERLINK("https://www.suredividend.com/sure-analysis-research-database/","TherapeuticsMD Inc")</f>
        <v>0</v>
      </c>
      <c r="C1734">
        <v>-0.265643447461629</v>
      </c>
      <c r="D1734">
        <v>-0.343881856540084</v>
      </c>
      <c r="E1734">
        <v>-0.6279904306220091</v>
      </c>
      <c r="F1734">
        <v>-0.6500703234880441</v>
      </c>
      <c r="G1734">
        <v>-0.819710144927536</v>
      </c>
      <c r="H1734">
        <v>-0.9246060606060601</v>
      </c>
      <c r="I1734">
        <v>-0.9745081967213111</v>
      </c>
    </row>
    <row r="1735" spans="1:9">
      <c r="A1735" s="1" t="s">
        <v>1747</v>
      </c>
      <c r="B1735">
        <f>HYPERLINK("https://www.suredividend.com/sure-analysis-research-database/","Texas Roadhouse Inc")</f>
        <v>0</v>
      </c>
      <c r="C1735">
        <v>-0.033011625356437</v>
      </c>
      <c r="D1735">
        <v>0.124904312324572</v>
      </c>
      <c r="E1735">
        <v>0.089365803031987</v>
      </c>
      <c r="F1735">
        <v>-0.000325401621565</v>
      </c>
      <c r="G1735">
        <v>-0.033515113315612</v>
      </c>
      <c r="H1735">
        <v>0.279812578654694</v>
      </c>
      <c r="I1735">
        <v>0.9060404425593731</v>
      </c>
    </row>
    <row r="1736" spans="1:9">
      <c r="A1736" s="1" t="s">
        <v>1748</v>
      </c>
      <c r="B1736">
        <f>HYPERLINK("https://www.suredividend.com/sure-analysis-research-database/","Tyra Biosciences Inc")</f>
        <v>0</v>
      </c>
      <c r="C1736">
        <v>-0.302211302211302</v>
      </c>
      <c r="D1736">
        <v>-0.459562321598477</v>
      </c>
      <c r="E1736">
        <v>-0.40461215932914</v>
      </c>
      <c r="F1736">
        <v>-0.596304193319118</v>
      </c>
      <c r="G1736">
        <v>-0.6506765067650671</v>
      </c>
      <c r="H1736">
        <v>-0.7815384615384611</v>
      </c>
      <c r="I1736">
        <v>-0.7815384615384611</v>
      </c>
    </row>
    <row r="1737" spans="1:9">
      <c r="A1737" s="1" t="s">
        <v>1749</v>
      </c>
      <c r="B1737">
        <f>HYPERLINK("https://www.suredividend.com/sure-analysis-research-database/","AgEagle Aerial Systems Inc.")</f>
        <v>0</v>
      </c>
      <c r="C1737">
        <v>-0.304806934594168</v>
      </c>
      <c r="D1737">
        <v>-0.3695869658425041</v>
      </c>
      <c r="E1737">
        <v>-0.563267326732673</v>
      </c>
      <c r="F1737">
        <v>-0.7190445859872611</v>
      </c>
      <c r="G1737">
        <v>-0.8452280701754381</v>
      </c>
      <c r="H1737">
        <v>-0.8013063063063061</v>
      </c>
      <c r="I1737">
        <v>0.575357142857142</v>
      </c>
    </row>
    <row r="1738" spans="1:9">
      <c r="A1738" s="1" t="s">
        <v>1750</v>
      </c>
      <c r="B1738">
        <f>HYPERLINK("https://www.suredividend.com/sure-analysis-UBA/","Urstadt Biddle Properties, Inc.")</f>
        <v>0</v>
      </c>
      <c r="C1738">
        <v>0.006541605955117001</v>
      </c>
      <c r="D1738">
        <v>0.030683272466211</v>
      </c>
      <c r="E1738">
        <v>-0.072857351438166</v>
      </c>
      <c r="F1738">
        <v>-0.18262875701152</v>
      </c>
      <c r="G1738">
        <v>-0.102112293067066</v>
      </c>
      <c r="H1738">
        <v>0.871500147362216</v>
      </c>
      <c r="I1738">
        <v>-0.03371181083928301</v>
      </c>
    </row>
    <row r="1739" spans="1:9">
      <c r="A1739" s="1" t="s">
        <v>1751</v>
      </c>
      <c r="B1739">
        <f>HYPERLINK("https://www.suredividend.com/sure-analysis-UBSI/","United Bankshares, Inc.")</f>
        <v>0</v>
      </c>
      <c r="C1739">
        <v>0.006268738075769001</v>
      </c>
      <c r="D1739">
        <v>0.046390350081625</v>
      </c>
      <c r="E1739">
        <v>0.12023060001517</v>
      </c>
      <c r="F1739">
        <v>0.04900072168522</v>
      </c>
      <c r="G1739">
        <v>0.044418921747789</v>
      </c>
      <c r="H1739">
        <v>0.6281961949954571</v>
      </c>
      <c r="I1739">
        <v>0.208740120874012</v>
      </c>
    </row>
    <row r="1740" spans="1:9">
      <c r="A1740" s="1" t="s">
        <v>1752</v>
      </c>
      <c r="B1740">
        <f>HYPERLINK("https://www.suredividend.com/sure-analysis-research-database/","United Community Banks Inc")</f>
        <v>0</v>
      </c>
      <c r="C1740">
        <v>0.05833771395407401</v>
      </c>
      <c r="D1740">
        <v>0.135818895095727</v>
      </c>
      <c r="E1740">
        <v>0.12597104091707</v>
      </c>
      <c r="F1740">
        <v>-0.011715834962503</v>
      </c>
      <c r="G1740">
        <v>0.054607663542912</v>
      </c>
      <c r="H1740">
        <v>0.9257563694267511</v>
      </c>
      <c r="I1740">
        <v>0.3819235042056811</v>
      </c>
    </row>
    <row r="1741" spans="1:9">
      <c r="A1741" s="1" t="s">
        <v>1753</v>
      </c>
      <c r="B1741">
        <f>HYPERLINK("https://www.suredividend.com/sure-analysis-research-database/","Ultra Clean Hldgs Inc")</f>
        <v>0</v>
      </c>
      <c r="C1741">
        <v>-0.08941176470588201</v>
      </c>
      <c r="D1741">
        <v>-0.09306996986943401</v>
      </c>
      <c r="E1741">
        <v>-0.24770896973063</v>
      </c>
      <c r="F1741">
        <v>-0.527719665271966</v>
      </c>
      <c r="G1741">
        <v>-0.362588235294117</v>
      </c>
      <c r="H1741">
        <v>0.112982744453574</v>
      </c>
      <c r="I1741">
        <v>-0.130616174582798</v>
      </c>
    </row>
    <row r="1742" spans="1:9">
      <c r="A1742" s="1" t="s">
        <v>1754</v>
      </c>
      <c r="B1742">
        <f>HYPERLINK("https://www.suredividend.com/sure-analysis-research-database/","Udemy Inc")</f>
        <v>0</v>
      </c>
      <c r="C1742">
        <v>-0.170625</v>
      </c>
      <c r="D1742">
        <v>0.191202872531418</v>
      </c>
      <c r="E1742">
        <v>0.127442650807136</v>
      </c>
      <c r="F1742">
        <v>-0.320880245649948</v>
      </c>
      <c r="G1742">
        <v>-0.5174545454545451</v>
      </c>
      <c r="H1742">
        <v>-0.5174545454545451</v>
      </c>
      <c r="I1742">
        <v>-0.5174545454545451</v>
      </c>
    </row>
    <row r="1743" spans="1:9">
      <c r="A1743" s="1" t="s">
        <v>1755</v>
      </c>
      <c r="B1743">
        <f>HYPERLINK("https://www.suredividend.com/sure-analysis-UE/","Urban Edge Properties")</f>
        <v>0</v>
      </c>
      <c r="C1743">
        <v>-0.188113688723527</v>
      </c>
      <c r="D1743">
        <v>-0.100341296928327</v>
      </c>
      <c r="E1743">
        <v>-0.279336420850033</v>
      </c>
      <c r="F1743">
        <v>-0.285625240518816</v>
      </c>
      <c r="G1743">
        <v>-0.260908331323916</v>
      </c>
      <c r="H1743">
        <v>0.363076954898493</v>
      </c>
      <c r="I1743">
        <v>-0.350255608851904</v>
      </c>
    </row>
    <row r="1744" spans="1:9">
      <c r="A1744" s="1" t="s">
        <v>1756</v>
      </c>
      <c r="B1744">
        <f>HYPERLINK("https://www.suredividend.com/sure-analysis-research-database/","Uranium Energy Corp")</f>
        <v>0</v>
      </c>
      <c r="C1744">
        <v>-0.164414414414414</v>
      </c>
      <c r="D1744">
        <v>0.08479532163742601</v>
      </c>
      <c r="E1744">
        <v>-0.3254545454545451</v>
      </c>
      <c r="F1744">
        <v>0.107462686567164</v>
      </c>
      <c r="G1744">
        <v>0.279310344827586</v>
      </c>
      <c r="H1744">
        <v>2.601941747572815</v>
      </c>
      <c r="I1744">
        <v>1.968</v>
      </c>
    </row>
    <row r="1745" spans="1:9">
      <c r="A1745" s="1" t="s">
        <v>1757</v>
      </c>
      <c r="B1745">
        <f>HYPERLINK("https://www.suredividend.com/sure-analysis-research-database/","Universal Electronics Inc.")</f>
        <v>0</v>
      </c>
      <c r="C1745">
        <v>-0.128550074738415</v>
      </c>
      <c r="D1745">
        <v>-0.318925233644859</v>
      </c>
      <c r="E1745">
        <v>-0.411309323460114</v>
      </c>
      <c r="F1745">
        <v>-0.57079754601227</v>
      </c>
      <c r="G1745">
        <v>-0.63833746898263</v>
      </c>
      <c r="H1745">
        <v>-0.555865921787709</v>
      </c>
      <c r="I1745">
        <v>-0.727357755261106</v>
      </c>
    </row>
    <row r="1746" spans="1:9">
      <c r="A1746" s="1" t="s">
        <v>1758</v>
      </c>
      <c r="B1746">
        <f>HYPERLINK("https://www.suredividend.com/sure-analysis-research-database/","United Fire Group Inc")</f>
        <v>0</v>
      </c>
      <c r="C1746">
        <v>0.001335559265442</v>
      </c>
      <c r="D1746">
        <v>-0.115200901615886</v>
      </c>
      <c r="E1746">
        <v>0.018893180991985</v>
      </c>
      <c r="F1746">
        <v>0.313772045874694</v>
      </c>
      <c r="G1746">
        <v>0.339616741859114</v>
      </c>
      <c r="H1746">
        <v>0.475051029191156</v>
      </c>
      <c r="I1746">
        <v>-0.221289766412895</v>
      </c>
    </row>
    <row r="1747" spans="1:9">
      <c r="A1747" s="1" t="s">
        <v>1759</v>
      </c>
      <c r="B1747">
        <f>HYPERLINK("https://www.suredividend.com/sure-analysis-research-database/","UNIFI, Inc.")</f>
        <v>0</v>
      </c>
      <c r="C1747">
        <v>-0.144796380090497</v>
      </c>
      <c r="D1747">
        <v>-0.316208393632416</v>
      </c>
      <c r="E1747">
        <v>-0.4401658767772511</v>
      </c>
      <c r="F1747">
        <v>-0.591792656587472</v>
      </c>
      <c r="G1747">
        <v>-0.5875163683980791</v>
      </c>
      <c r="H1747">
        <v>-0.334507042253521</v>
      </c>
      <c r="I1747">
        <v>-0.7405984079055721</v>
      </c>
    </row>
    <row r="1748" spans="1:9">
      <c r="A1748" s="1" t="s">
        <v>1760</v>
      </c>
      <c r="B1748">
        <f>HYPERLINK("https://www.suredividend.com/sure-analysis-research-database/","UFP Industries Inc")</f>
        <v>0</v>
      </c>
      <c r="C1748">
        <v>-0.041414790996784</v>
      </c>
      <c r="D1748">
        <v>0.058179272862024</v>
      </c>
      <c r="E1748">
        <v>-0.002397298321088</v>
      </c>
      <c r="F1748">
        <v>-0.185548151337458</v>
      </c>
      <c r="G1748">
        <v>0.04118790137702701</v>
      </c>
      <c r="H1748">
        <v>0.278876825955725</v>
      </c>
      <c r="I1748">
        <v>1.369213260982208</v>
      </c>
    </row>
    <row r="1749" spans="1:9">
      <c r="A1749" s="1" t="s">
        <v>1761</v>
      </c>
      <c r="B1749">
        <f>HYPERLINK("https://www.suredividend.com/sure-analysis-research-database/","UFP Technologies Inc.")</f>
        <v>0</v>
      </c>
      <c r="C1749">
        <v>-0.06258560741755301</v>
      </c>
      <c r="D1749">
        <v>0.111569215392303</v>
      </c>
      <c r="E1749">
        <v>0.308382352941176</v>
      </c>
      <c r="F1749">
        <v>0.266296612581838</v>
      </c>
      <c r="G1749">
        <v>0.384531590413943</v>
      </c>
      <c r="H1749">
        <v>1.082143692955769</v>
      </c>
      <c r="I1749">
        <v>2.138271604938271</v>
      </c>
    </row>
    <row r="1750" spans="1:9">
      <c r="A1750" s="1" t="s">
        <v>1762</v>
      </c>
      <c r="B1750">
        <f>HYPERLINK("https://www.suredividend.com/sure-analysis-UHT/","Universal Health Realty Income Trust")</f>
        <v>0</v>
      </c>
      <c r="C1750">
        <v>-0.173703750251858</v>
      </c>
      <c r="D1750">
        <v>-0.188851506166843</v>
      </c>
      <c r="E1750">
        <v>-0.246365103538372</v>
      </c>
      <c r="F1750">
        <v>-0.274759639375894</v>
      </c>
      <c r="G1750">
        <v>-0.226070692519119</v>
      </c>
      <c r="H1750">
        <v>-0.212328897374556</v>
      </c>
      <c r="I1750">
        <v>-0.329088438194985</v>
      </c>
    </row>
    <row r="1751" spans="1:9">
      <c r="A1751" s="1" t="s">
        <v>1763</v>
      </c>
      <c r="B1751">
        <f>HYPERLINK("https://www.suredividend.com/sure-analysis-research-database/","United Insurance Holdings Corp")</f>
        <v>0</v>
      </c>
      <c r="C1751">
        <v>-0.314066154360173</v>
      </c>
      <c r="D1751">
        <v>-0.5810204081632651</v>
      </c>
      <c r="E1751">
        <v>-0.792626262626262</v>
      </c>
      <c r="F1751">
        <v>-0.855507331378299</v>
      </c>
      <c r="G1751">
        <v>-0.8569470897013051</v>
      </c>
      <c r="H1751">
        <v>-0.887084059033825</v>
      </c>
      <c r="I1751">
        <v>-0.957135400354943</v>
      </c>
    </row>
    <row r="1752" spans="1:9">
      <c r="A1752" s="1" t="s">
        <v>1764</v>
      </c>
      <c r="B1752">
        <f>HYPERLINK("https://www.suredividend.com/sure-analysis-research-database/","Unisys Corp.")</f>
        <v>0</v>
      </c>
      <c r="C1752">
        <v>-0.001136363636363</v>
      </c>
      <c r="D1752">
        <v>-0.350812407680945</v>
      </c>
      <c r="E1752">
        <v>-0.5251215559157211</v>
      </c>
      <c r="F1752">
        <v>-0.5726786582401551</v>
      </c>
      <c r="G1752">
        <v>-0.6602241979126401</v>
      </c>
      <c r="H1752">
        <v>-0.177736202057998</v>
      </c>
      <c r="I1752">
        <v>-0.028729281767955</v>
      </c>
    </row>
    <row r="1753" spans="1:9">
      <c r="A1753" s="1" t="s">
        <v>1765</v>
      </c>
      <c r="B1753">
        <f>HYPERLINK("https://www.suredividend.com/sure-analysis-research-database/","Frontier Group Holdings Inc")</f>
        <v>0</v>
      </c>
      <c r="C1753">
        <v>-0.257939581719597</v>
      </c>
      <c r="D1753">
        <v>-0.108837209302325</v>
      </c>
      <c r="E1753">
        <v>-0.1071761416589</v>
      </c>
      <c r="F1753">
        <v>-0.294030950626381</v>
      </c>
      <c r="G1753">
        <v>-0.42289156626506</v>
      </c>
      <c r="H1753">
        <v>-0.491777188328912</v>
      </c>
      <c r="I1753">
        <v>-0.491777188328912</v>
      </c>
    </row>
    <row r="1754" spans="1:9">
      <c r="A1754" s="1" t="s">
        <v>1766</v>
      </c>
      <c r="B1754">
        <f>HYPERLINK("https://www.suredividend.com/sure-analysis-research-database/","Universal Logistics Holdings Inc")</f>
        <v>0</v>
      </c>
      <c r="C1754">
        <v>-0.051674364896073</v>
      </c>
      <c r="D1754">
        <v>0.211202796274583</v>
      </c>
      <c r="E1754">
        <v>0.820297564624719</v>
      </c>
      <c r="F1754">
        <v>0.7692489982334441</v>
      </c>
      <c r="G1754">
        <v>0.6955451293724161</v>
      </c>
      <c r="H1754">
        <v>0.5343942529111451</v>
      </c>
      <c r="I1754">
        <v>0.686379597116983</v>
      </c>
    </row>
    <row r="1755" spans="1:9">
      <c r="A1755" s="1" t="s">
        <v>1767</v>
      </c>
      <c r="B1755">
        <f>HYPERLINK("https://www.suredividend.com/sure-analysis-UMBF/","UMB Financial Corp.")</f>
        <v>0</v>
      </c>
      <c r="C1755">
        <v>-0.03574590526781701</v>
      </c>
      <c r="D1755">
        <v>-0.016856626711304</v>
      </c>
      <c r="E1755">
        <v>-0.05694481725532301</v>
      </c>
      <c r="F1755">
        <v>-0.168955781923619</v>
      </c>
      <c r="G1755">
        <v>-0.124871311989956</v>
      </c>
      <c r="H1755">
        <v>0.595317131761513</v>
      </c>
      <c r="I1755">
        <v>0.256429594230777</v>
      </c>
    </row>
    <row r="1756" spans="1:9">
      <c r="A1756" s="1" t="s">
        <v>1768</v>
      </c>
      <c r="B1756">
        <f>HYPERLINK("https://www.suredividend.com/sure-analysis-UMH/","UMH Properties Inc")</f>
        <v>0</v>
      </c>
      <c r="C1756">
        <v>-0.158207343412526</v>
      </c>
      <c r="D1756">
        <v>-0.144417309222621</v>
      </c>
      <c r="E1756">
        <v>-0.33905390165936</v>
      </c>
      <c r="F1756">
        <v>-0.412668871826942</v>
      </c>
      <c r="G1756">
        <v>-0.283425950184544</v>
      </c>
      <c r="H1756">
        <v>0.166034659426631</v>
      </c>
      <c r="I1756">
        <v>0.240284175437759</v>
      </c>
    </row>
    <row r="1757" spans="1:9">
      <c r="A1757" s="1" t="s">
        <v>1769</v>
      </c>
      <c r="B1757">
        <f>HYPERLINK("https://www.suredividend.com/sure-analysis-UNF/","Unifirst Corp.")</f>
        <v>0</v>
      </c>
      <c r="C1757">
        <v>-0.07429108396440201</v>
      </c>
      <c r="D1757">
        <v>-0.061897826574053</v>
      </c>
      <c r="E1757">
        <v>-0.029275907180993</v>
      </c>
      <c r="F1757">
        <v>-0.201256469789208</v>
      </c>
      <c r="G1757">
        <v>-0.24506238704899</v>
      </c>
      <c r="H1757">
        <v>-0.141268883290611</v>
      </c>
      <c r="I1757">
        <v>0.092247177747298</v>
      </c>
    </row>
    <row r="1758" spans="1:9">
      <c r="A1758" s="1" t="s">
        <v>1770</v>
      </c>
      <c r="B1758">
        <f>HYPERLINK("https://www.suredividend.com/sure-analysis-research-database/","United Natural Foods Inc.")</f>
        <v>0</v>
      </c>
      <c r="C1758">
        <v>-0.178900112233445</v>
      </c>
      <c r="D1758">
        <v>-0.075328614762386</v>
      </c>
      <c r="E1758">
        <v>-0.135428976601276</v>
      </c>
      <c r="F1758">
        <v>-0.254686226568867</v>
      </c>
      <c r="G1758">
        <v>-0.227944280287041</v>
      </c>
      <c r="H1758">
        <v>1.144196951934349</v>
      </c>
      <c r="I1758">
        <v>-0.09027605073364801</v>
      </c>
    </row>
    <row r="1759" spans="1:9">
      <c r="A1759" s="1" t="s">
        <v>1771</v>
      </c>
      <c r="B1759">
        <f>HYPERLINK("https://www.suredividend.com/sure-analysis-UNIT/","Uniti Group Inc")</f>
        <v>0</v>
      </c>
      <c r="C1759">
        <v>-0.292580982236154</v>
      </c>
      <c r="D1759">
        <v>-0.270206756785891</v>
      </c>
      <c r="E1759">
        <v>-0.4825029429300881</v>
      </c>
      <c r="F1759">
        <v>-0.4959084444643</v>
      </c>
      <c r="G1759">
        <v>-0.409002025281095</v>
      </c>
      <c r="H1759">
        <v>-0.281743337294177</v>
      </c>
      <c r="I1759">
        <v>-0.35655562419807</v>
      </c>
    </row>
    <row r="1760" spans="1:9">
      <c r="A1760" s="1" t="s">
        <v>1772</v>
      </c>
      <c r="B1760">
        <f>HYPERLINK("https://www.suredividend.com/sure-analysis-research-database/","Upland Software Inc")</f>
        <v>0</v>
      </c>
      <c r="C1760">
        <v>-0.229166666666666</v>
      </c>
      <c r="D1760">
        <v>-0.469262295081967</v>
      </c>
      <c r="E1760">
        <v>-0.532209512341962</v>
      </c>
      <c r="F1760">
        <v>-0.566889632107023</v>
      </c>
      <c r="G1760">
        <v>-0.757566302652106</v>
      </c>
      <c r="H1760">
        <v>-0.8209677419354831</v>
      </c>
      <c r="I1760">
        <v>-0.6464968152866241</v>
      </c>
    </row>
    <row r="1761" spans="1:9">
      <c r="A1761" s="1" t="s">
        <v>1773</v>
      </c>
      <c r="B1761">
        <f>HYPERLINK("https://www.suredividend.com/sure-analysis-research-database/","Upwork Inc")</f>
        <v>0</v>
      </c>
      <c r="C1761">
        <v>-0.241206030150753</v>
      </c>
      <c r="D1761">
        <v>-0.439587628865979</v>
      </c>
      <c r="E1761">
        <v>-0.368494423791821</v>
      </c>
      <c r="F1761">
        <v>-0.602166276346604</v>
      </c>
      <c r="G1761">
        <v>-0.748798521256931</v>
      </c>
      <c r="H1761">
        <v>-0.327560613557644</v>
      </c>
      <c r="I1761">
        <v>-0.358356940509915</v>
      </c>
    </row>
    <row r="1762" spans="1:9">
      <c r="A1762" s="1" t="s">
        <v>1774</v>
      </c>
      <c r="B1762">
        <f>HYPERLINK("https://www.suredividend.com/sure-analysis-research-database/","Urban Outfitters, Inc.")</f>
        <v>0</v>
      </c>
      <c r="C1762">
        <v>-0.01389511429852</v>
      </c>
      <c r="D1762">
        <v>0.09725685785536101</v>
      </c>
      <c r="E1762">
        <v>-0.128022195798652</v>
      </c>
      <c r="F1762">
        <v>-0.250681198910081</v>
      </c>
      <c r="G1762">
        <v>-0.259009767598518</v>
      </c>
      <c r="H1762">
        <v>-0.067599067599067</v>
      </c>
      <c r="I1762">
        <v>-0.05131522207848201</v>
      </c>
    </row>
    <row r="1763" spans="1:9">
      <c r="A1763" s="1" t="s">
        <v>1775</v>
      </c>
      <c r="B1763">
        <f>HYPERLINK("https://www.suredividend.com/sure-analysis-research-database/","Ur-Energy Inc.")</f>
        <v>0</v>
      </c>
      <c r="C1763">
        <v>-0.234482758620689</v>
      </c>
      <c r="D1763">
        <v>0.018348623853211</v>
      </c>
      <c r="E1763">
        <v>-0.376404494382022</v>
      </c>
      <c r="F1763">
        <v>-0.09016393442622901</v>
      </c>
      <c r="G1763">
        <v>-0.283870967741935</v>
      </c>
      <c r="H1763">
        <v>1.336350242054304</v>
      </c>
      <c r="I1763">
        <v>0.9828510182207931</v>
      </c>
    </row>
    <row r="1764" spans="1:9">
      <c r="A1764" s="1" t="s">
        <v>1776</v>
      </c>
      <c r="B1764">
        <f>HYPERLINK("https://www.suredividend.com/sure-analysis-research-database/","UroGen Pharma Ltd")</f>
        <v>0</v>
      </c>
      <c r="C1764">
        <v>0.349809885931559</v>
      </c>
      <c r="D1764">
        <v>0.218535469107551</v>
      </c>
      <c r="E1764">
        <v>0.327930174563591</v>
      </c>
      <c r="F1764">
        <v>0.1198738170347</v>
      </c>
      <c r="G1764">
        <v>-0.329345088161209</v>
      </c>
      <c r="H1764">
        <v>-0.5194043321299641</v>
      </c>
      <c r="I1764">
        <v>-0.647234183504471</v>
      </c>
    </row>
    <row r="1765" spans="1:9">
      <c r="A1765" s="1" t="s">
        <v>1777</v>
      </c>
      <c r="B1765">
        <f>HYPERLINK("https://www.suredividend.com/sure-analysis-research-database/","ProShares Trust")</f>
        <v>0</v>
      </c>
      <c r="C1765">
        <v>-0.321036889332004</v>
      </c>
      <c r="D1765">
        <v>-0.325742574257425</v>
      </c>
      <c r="E1765">
        <v>-0.576755748912368</v>
      </c>
      <c r="F1765">
        <v>-0.74214312760318</v>
      </c>
      <c r="G1765">
        <v>-0.6030311862430771</v>
      </c>
      <c r="H1765">
        <v>-0.3554066333484781</v>
      </c>
      <c r="I1765">
        <v>0.5414389026584721</v>
      </c>
    </row>
    <row r="1766" spans="1:9">
      <c r="A1766" s="1" t="s">
        <v>1778</v>
      </c>
      <c r="B1766">
        <f>HYPERLINK("https://www.suredividend.com/sure-analysis-research-database/","UserTesting Inc")</f>
        <v>0</v>
      </c>
      <c r="C1766">
        <v>-0.116666666666666</v>
      </c>
      <c r="D1766">
        <v>-0.4120443740095081</v>
      </c>
      <c r="E1766">
        <v>-0.633399209486166</v>
      </c>
      <c r="F1766">
        <v>-0.55938242280285</v>
      </c>
      <c r="G1766">
        <v>-0.7351891506067091</v>
      </c>
      <c r="H1766">
        <v>-0.7351891506067091</v>
      </c>
      <c r="I1766">
        <v>-0.7351891506067091</v>
      </c>
    </row>
    <row r="1767" spans="1:9">
      <c r="A1767" s="1" t="s">
        <v>1779</v>
      </c>
      <c r="B1767">
        <f>HYPERLINK("https://www.suredividend.com/sure-analysis-research-database/","United States Lime &amp; Minerals Inc.")</f>
        <v>0</v>
      </c>
      <c r="C1767">
        <v>0.008729480975424002</v>
      </c>
      <c r="D1767">
        <v>-0.022502397540211</v>
      </c>
      <c r="E1767">
        <v>-0.068158291252468</v>
      </c>
      <c r="F1767">
        <v>-0.171615338401874</v>
      </c>
      <c r="G1767">
        <v>-0.090507001068532</v>
      </c>
      <c r="H1767">
        <v>0.130530491144301</v>
      </c>
      <c r="I1767">
        <v>0.269844682622442</v>
      </c>
    </row>
    <row r="1768" spans="1:9">
      <c r="A1768" s="1" t="s">
        <v>1780</v>
      </c>
      <c r="B1768">
        <f>HYPERLINK("https://www.suredividend.com/sure-analysis-research-database/","United States Cellular Corporation")</f>
        <v>0</v>
      </c>
      <c r="C1768">
        <v>-0.060463432295438</v>
      </c>
      <c r="D1768">
        <v>-0.091704585229261</v>
      </c>
      <c r="E1768">
        <v>-0.188047559449311</v>
      </c>
      <c r="F1768">
        <v>-0.176713197969543</v>
      </c>
      <c r="G1768">
        <v>-0.17039641943734</v>
      </c>
      <c r="H1768">
        <v>-0.167468719923002</v>
      </c>
      <c r="I1768">
        <v>-0.300727566693613</v>
      </c>
    </row>
    <row r="1769" spans="1:9">
      <c r="A1769" s="1" t="s">
        <v>1781</v>
      </c>
      <c r="B1769">
        <f>HYPERLINK("https://www.suredividend.com/sure-analysis-research-database/","Usana Health Sciences Inc")</f>
        <v>0</v>
      </c>
      <c r="C1769">
        <v>-0.09844973629534901</v>
      </c>
      <c r="D1769">
        <v>-0.156296739455578</v>
      </c>
      <c r="E1769">
        <v>-0.299428713363139</v>
      </c>
      <c r="F1769">
        <v>-0.4425889328063241</v>
      </c>
      <c r="G1769">
        <v>-0.410615400689583</v>
      </c>
      <c r="H1769">
        <v>-0.276423807080554</v>
      </c>
      <c r="I1769">
        <v>-0.069141914191419</v>
      </c>
    </row>
    <row r="1770" spans="1:9">
      <c r="A1770" s="1" t="s">
        <v>1782</v>
      </c>
      <c r="B1770">
        <f>HYPERLINK("https://www.suredividend.com/sure-analysis-research-database/","U.S. Physical Therapy, Inc.")</f>
        <v>0</v>
      </c>
      <c r="C1770">
        <v>0.022310552634953</v>
      </c>
      <c r="D1770">
        <v>-0.316973712954198</v>
      </c>
      <c r="E1770">
        <v>-0.191067551388973</v>
      </c>
      <c r="F1770">
        <v>-0.154632398159339</v>
      </c>
      <c r="G1770">
        <v>-0.247546953994947</v>
      </c>
      <c r="H1770">
        <v>-0.06966486698412901</v>
      </c>
      <c r="I1770">
        <v>0.344392435115739</v>
      </c>
    </row>
    <row r="1771" spans="1:9">
      <c r="A1771" s="1" t="s">
        <v>1783</v>
      </c>
      <c r="B1771">
        <f>HYPERLINK("https://www.suredividend.com/sure-analysis-research-database/","U.S. Xpress Enterprises Inc")</f>
        <v>0</v>
      </c>
      <c r="C1771">
        <v>-0.03370786516853901</v>
      </c>
      <c r="D1771">
        <v>-0.116438356164383</v>
      </c>
      <c r="E1771">
        <v>-0.243401759530791</v>
      </c>
      <c r="F1771">
        <v>-0.5604770017035771</v>
      </c>
      <c r="G1771">
        <v>-0.700348432055749</v>
      </c>
      <c r="H1771">
        <v>-0.7404426559356131</v>
      </c>
      <c r="I1771">
        <v>-0.8453237410071941</v>
      </c>
    </row>
    <row r="1772" spans="1:9">
      <c r="A1772" s="1" t="s">
        <v>1784</v>
      </c>
      <c r="B1772">
        <f>HYPERLINK("https://www.suredividend.com/sure-analysis-research-database/","Unitil Corp.")</f>
        <v>0</v>
      </c>
      <c r="C1772">
        <v>-0.108818376484329</v>
      </c>
      <c r="D1772">
        <v>-0.206482645057849</v>
      </c>
      <c r="E1772">
        <v>-0.117396995910876</v>
      </c>
      <c r="F1772">
        <v>0.017548149053689</v>
      </c>
      <c r="G1772">
        <v>0.08780625738094801</v>
      </c>
      <c r="H1772">
        <v>0.189069289649279</v>
      </c>
      <c r="I1772">
        <v>0.035784100781928</v>
      </c>
    </row>
    <row r="1773" spans="1:9">
      <c r="A1773" s="1" t="s">
        <v>1785</v>
      </c>
      <c r="B1773">
        <f>HYPERLINK("https://www.suredividend.com/sure-analysis-research-database/","Utah Medical Products, Inc.")</f>
        <v>0</v>
      </c>
      <c r="C1773">
        <v>-0.098191251145002</v>
      </c>
      <c r="D1773">
        <v>-0.005803890604726</v>
      </c>
      <c r="E1773">
        <v>-0.040883223468403</v>
      </c>
      <c r="F1773">
        <v>-0.165588295608024</v>
      </c>
      <c r="G1773">
        <v>-0.070124542520412</v>
      </c>
      <c r="H1773">
        <v>0.034412369868795</v>
      </c>
      <c r="I1773">
        <v>0.167732139777254</v>
      </c>
    </row>
    <row r="1774" spans="1:9">
      <c r="A1774" s="1" t="s">
        <v>1786</v>
      </c>
      <c r="B1774">
        <f>HYPERLINK("https://www.suredividend.com/sure-analysis-research-database/","Utz Brands Inc")</f>
        <v>0</v>
      </c>
      <c r="C1774">
        <v>-0.13489539545028</v>
      </c>
      <c r="D1774">
        <v>-0.024758765152295</v>
      </c>
      <c r="E1774">
        <v>-0.04381611641202</v>
      </c>
      <c r="F1774">
        <v>-0.099567538775665</v>
      </c>
      <c r="G1774">
        <v>-0.07459904722803301</v>
      </c>
      <c r="H1774">
        <v>-0.19098921508862</v>
      </c>
      <c r="I1774">
        <v>0.474558670820352</v>
      </c>
    </row>
    <row r="1775" spans="1:9">
      <c r="A1775" s="1" t="s">
        <v>1787</v>
      </c>
      <c r="B1775">
        <f>HYPERLINK("https://www.suredividend.com/sure-analysis-research-database/","Energy Fuels Inc")</f>
        <v>0</v>
      </c>
      <c r="C1775">
        <v>-0.199218749999999</v>
      </c>
      <c r="D1775">
        <v>0.130514705882353</v>
      </c>
      <c r="E1775">
        <v>-0.367283950617283</v>
      </c>
      <c r="F1775">
        <v>-0.19397116644823</v>
      </c>
      <c r="G1775">
        <v>-0.03149606299212501</v>
      </c>
      <c r="H1775">
        <v>2.61764705882353</v>
      </c>
      <c r="I1775">
        <v>3.392857142857143</v>
      </c>
    </row>
    <row r="1776" spans="1:9">
      <c r="A1776" s="1" t="s">
        <v>1788</v>
      </c>
      <c r="B1776">
        <f>HYPERLINK("https://www.suredividend.com/sure-analysis-research-database/","Universal Insurance Holdings Inc")</f>
        <v>0</v>
      </c>
      <c r="C1776">
        <v>-0.264631043256997</v>
      </c>
      <c r="D1776">
        <v>-0.30911930640997</v>
      </c>
      <c r="E1776">
        <v>-0.316224486576863</v>
      </c>
      <c r="F1776">
        <v>-0.469828535087933</v>
      </c>
      <c r="G1776">
        <v>-0.335978187611053</v>
      </c>
      <c r="H1776">
        <v>-0.330429544506742</v>
      </c>
      <c r="I1776">
        <v>-0.571434926817694</v>
      </c>
    </row>
    <row r="1777" spans="1:9">
      <c r="A1777" s="1" t="s">
        <v>1789</v>
      </c>
      <c r="B1777">
        <f>HYPERLINK("https://www.suredividend.com/sure-analysis-research-database/","Univest Financial Corp")</f>
        <v>0</v>
      </c>
      <c r="C1777">
        <v>-0.007223113964687</v>
      </c>
      <c r="D1777">
        <v>-0.026279434974436</v>
      </c>
      <c r="E1777">
        <v>-0.011230566324287</v>
      </c>
      <c r="F1777">
        <v>-0.153696165292648</v>
      </c>
      <c r="G1777">
        <v>-0.108172799630868</v>
      </c>
      <c r="H1777">
        <v>0.6639427506843411</v>
      </c>
      <c r="I1777">
        <v>-0.09519142150767301</v>
      </c>
    </row>
    <row r="1778" spans="1:9">
      <c r="A1778" s="1" t="s">
        <v>1790</v>
      </c>
      <c r="B1778">
        <f>HYPERLINK("https://www.suredividend.com/sure-analysis-UVV/","Universal Corp.")</f>
        <v>0</v>
      </c>
      <c r="C1778">
        <v>-0.09626295268251701</v>
      </c>
      <c r="D1778">
        <v>-0.14872327660072</v>
      </c>
      <c r="E1778">
        <v>-0.206867976825757</v>
      </c>
      <c r="F1778">
        <v>-0.143769918772859</v>
      </c>
      <c r="G1778">
        <v>-0.045389668455083</v>
      </c>
      <c r="H1778">
        <v>0.149026781301988</v>
      </c>
      <c r="I1778">
        <v>0.005870788298286</v>
      </c>
    </row>
    <row r="1779" spans="1:9">
      <c r="A1779" s="1" t="s">
        <v>1791</v>
      </c>
      <c r="B1779">
        <f>HYPERLINK("https://www.suredividend.com/sure-analysis-research-database/","Value Line, Inc.")</f>
        <v>0</v>
      </c>
      <c r="C1779">
        <v>-0.242911877394635</v>
      </c>
      <c r="D1779">
        <v>-0.046703181837186</v>
      </c>
      <c r="E1779">
        <v>-0.203311471884743</v>
      </c>
      <c r="F1779">
        <v>0.280541940556759</v>
      </c>
      <c r="G1779">
        <v>0.9140733469806851</v>
      </c>
      <c r="H1779">
        <v>1.301197569922944</v>
      </c>
      <c r="I1779">
        <v>2.789263752700681</v>
      </c>
    </row>
    <row r="1780" spans="1:9">
      <c r="A1780" s="1" t="s">
        <v>1792</v>
      </c>
      <c r="B1780">
        <f>HYPERLINK("https://www.suredividend.com/sure-analysis-research-database/","Vapotherm Inc")</f>
        <v>0</v>
      </c>
      <c r="C1780">
        <v>-0.164102564102564</v>
      </c>
      <c r="D1780">
        <v>-0.345381526104417</v>
      </c>
      <c r="E1780">
        <v>-0.772027972027972</v>
      </c>
      <c r="F1780">
        <v>-0.9212940608401731</v>
      </c>
      <c r="G1780">
        <v>-0.9209505334626571</v>
      </c>
      <c r="H1780">
        <v>-0.9434812760055481</v>
      </c>
      <c r="I1780">
        <v>-0.8981250000000001</v>
      </c>
    </row>
    <row r="1781" spans="1:9">
      <c r="A1781" s="1" t="s">
        <v>1793</v>
      </c>
      <c r="B1781">
        <f>HYPERLINK("https://www.suredividend.com/sure-analysis-research-database/","Innovate Corp")</f>
        <v>0</v>
      </c>
      <c r="C1781">
        <v>-0.524068965517241</v>
      </c>
      <c r="D1781">
        <v>-0.603390804597701</v>
      </c>
      <c r="E1781">
        <v>-0.8129810298102981</v>
      </c>
      <c r="F1781">
        <v>-0.813486486486486</v>
      </c>
      <c r="G1781">
        <v>-0.8179155672823221</v>
      </c>
      <c r="H1781">
        <v>-0.7272332015810271</v>
      </c>
      <c r="I1781">
        <v>-0.863316762066984</v>
      </c>
    </row>
    <row r="1782" spans="1:9">
      <c r="A1782" s="1" t="s">
        <v>1794</v>
      </c>
      <c r="B1782">
        <f>HYPERLINK("https://www.suredividend.com/sure-analysis-research-database/","VBI Vaccines Inc.")</f>
        <v>0</v>
      </c>
      <c r="C1782">
        <v>-0.227142035652674</v>
      </c>
      <c r="D1782">
        <v>-0.201520912547528</v>
      </c>
      <c r="E1782">
        <v>-0.6047058823529411</v>
      </c>
      <c r="F1782">
        <v>-0.7128205128205121</v>
      </c>
      <c r="G1782">
        <v>-0.7744966442953021</v>
      </c>
      <c r="H1782">
        <v>-0.7722033898305081</v>
      </c>
      <c r="I1782">
        <v>-0.8254545454545451</v>
      </c>
    </row>
    <row r="1783" spans="1:9">
      <c r="A1783" s="1" t="s">
        <v>1795</v>
      </c>
      <c r="B1783">
        <f>HYPERLINK("https://www.suredividend.com/sure-analysis-research-database/","Veritex Holdings Inc")</f>
        <v>0</v>
      </c>
      <c r="C1783">
        <v>-0.096654275092936</v>
      </c>
      <c r="D1783">
        <v>-0.08672210795334101</v>
      </c>
      <c r="E1783">
        <v>-0.216420863783869</v>
      </c>
      <c r="F1783">
        <v>-0.316221387715007</v>
      </c>
      <c r="G1783">
        <v>-0.325432677020295</v>
      </c>
      <c r="H1783">
        <v>0.410829555111024</v>
      </c>
      <c r="I1783">
        <v>0.07525584089592501</v>
      </c>
    </row>
    <row r="1784" spans="1:9">
      <c r="A1784" s="1" t="s">
        <v>1796</v>
      </c>
      <c r="B1784">
        <f>HYPERLINK("https://www.suredividend.com/sure-analysis-research-database/","Visteon Corp.")</f>
        <v>0</v>
      </c>
      <c r="C1784">
        <v>-0.09848306217087101</v>
      </c>
      <c r="D1784">
        <v>0.057045433600589</v>
      </c>
      <c r="E1784">
        <v>0.161166227981372</v>
      </c>
      <c r="F1784">
        <v>0.032031671765341</v>
      </c>
      <c r="G1784">
        <v>0.119024390243902</v>
      </c>
      <c r="H1784">
        <v>0.387779794313369</v>
      </c>
      <c r="I1784">
        <v>-0.07715825891061201</v>
      </c>
    </row>
    <row r="1785" spans="1:9">
      <c r="A1785" s="1" t="s">
        <v>1797</v>
      </c>
      <c r="B1785">
        <f>HYPERLINK("https://www.suredividend.com/sure-analysis-research-database/","Vericel Corp")</f>
        <v>0</v>
      </c>
      <c r="C1785">
        <v>-0.08839354342813201</v>
      </c>
      <c r="D1785">
        <v>-0.148600143575017</v>
      </c>
      <c r="E1785">
        <v>-0.356134636264929</v>
      </c>
      <c r="F1785">
        <v>-0.396437659033078</v>
      </c>
      <c r="G1785">
        <v>-0.5368092169498141</v>
      </c>
      <c r="H1785">
        <v>0.08707607699358301</v>
      </c>
      <c r="I1785">
        <v>4.101075268817204</v>
      </c>
    </row>
    <row r="1786" spans="1:9">
      <c r="A1786" s="1" t="s">
        <v>1798</v>
      </c>
      <c r="B1786">
        <f>HYPERLINK("https://www.suredividend.com/sure-analysis-research-database/","Veracyte Inc")</f>
        <v>0</v>
      </c>
      <c r="C1786">
        <v>-0.193984962406015</v>
      </c>
      <c r="D1786">
        <v>-0.371875</v>
      </c>
      <c r="E1786">
        <v>-0.376260667183863</v>
      </c>
      <c r="F1786">
        <v>-0.6097087378640771</v>
      </c>
      <c r="G1786">
        <v>-0.612810016855285</v>
      </c>
      <c r="H1786">
        <v>-0.612156295224312</v>
      </c>
      <c r="I1786">
        <v>0.8231292517006801</v>
      </c>
    </row>
    <row r="1787" spans="1:9">
      <c r="A1787" s="1" t="s">
        <v>1799</v>
      </c>
      <c r="B1787">
        <f>HYPERLINK("https://www.suredividend.com/sure-analysis-research-database/","V2X Inc")</f>
        <v>0</v>
      </c>
      <c r="C1787">
        <v>-0.08549150654413701</v>
      </c>
      <c r="D1787">
        <v>-0.148119325551231</v>
      </c>
      <c r="E1787">
        <v>-0.29009943795936</v>
      </c>
      <c r="F1787">
        <v>-0.282499453790692</v>
      </c>
      <c r="G1787">
        <v>-0.289177489177489</v>
      </c>
      <c r="H1787">
        <v>-0.293915287035046</v>
      </c>
      <c r="I1787">
        <v>0.009840098400984001</v>
      </c>
    </row>
    <row r="1788" spans="1:9">
      <c r="A1788" s="1" t="s">
        <v>1800</v>
      </c>
      <c r="B1788">
        <f>HYPERLINK("https://www.suredividend.com/sure-analysis-research-database/","Veeco Instruments Inc")</f>
        <v>0</v>
      </c>
      <c r="C1788">
        <v>-0.118660287081339</v>
      </c>
      <c r="D1788">
        <v>0.002721829069134</v>
      </c>
      <c r="E1788">
        <v>-0.276512175962293</v>
      </c>
      <c r="F1788">
        <v>-0.353003161222339</v>
      </c>
      <c r="G1788">
        <v>-0.186036235086168</v>
      </c>
      <c r="H1788">
        <v>0.453827940015785</v>
      </c>
      <c r="I1788">
        <v>-0.122857142857142</v>
      </c>
    </row>
    <row r="1789" spans="1:9">
      <c r="A1789" s="1" t="s">
        <v>1801</v>
      </c>
      <c r="B1789">
        <f>HYPERLINK("https://www.suredividend.com/sure-analysis-research-database/","Velocity Financial Inc")</f>
        <v>0</v>
      </c>
      <c r="C1789">
        <v>-0.098199672667757</v>
      </c>
      <c r="D1789">
        <v>0.034741784037558</v>
      </c>
      <c r="E1789">
        <v>0.03377110694183801</v>
      </c>
      <c r="F1789">
        <v>-0.195620437956204</v>
      </c>
      <c r="G1789">
        <v>-0.148377125193199</v>
      </c>
      <c r="H1789">
        <v>1.253578732106339</v>
      </c>
      <c r="I1789">
        <v>-0.184307920059215</v>
      </c>
    </row>
    <row r="1790" spans="1:9">
      <c r="A1790" s="1" t="s">
        <v>1802</v>
      </c>
      <c r="B1790">
        <f>HYPERLINK("https://www.suredividend.com/sure-analysis-research-database/","Vera Therapeutics Inc")</f>
        <v>0</v>
      </c>
      <c r="C1790">
        <v>0.005500000000000001</v>
      </c>
      <c r="D1790">
        <v>0.368958475153165</v>
      </c>
      <c r="E1790">
        <v>-0.129060199220441</v>
      </c>
      <c r="F1790">
        <v>-0.247380239520958</v>
      </c>
      <c r="G1790">
        <v>0.31352057478772</v>
      </c>
      <c r="H1790">
        <v>0.7486956521739131</v>
      </c>
      <c r="I1790">
        <v>0.7486956521739131</v>
      </c>
    </row>
    <row r="1791" spans="1:9">
      <c r="A1791" s="1" t="s">
        <v>1803</v>
      </c>
      <c r="B1791">
        <f>HYPERLINK("https://www.suredividend.com/sure-analysis-research-database/","Veritone Inc")</f>
        <v>0</v>
      </c>
      <c r="C1791">
        <v>-0.207492795389049</v>
      </c>
      <c r="D1791">
        <v>-0.264705882352941</v>
      </c>
      <c r="E1791">
        <v>-0.6487867177522351</v>
      </c>
      <c r="F1791">
        <v>-0.7553380782918151</v>
      </c>
      <c r="G1791">
        <v>-0.760034904013961</v>
      </c>
      <c r="H1791">
        <v>-0.5040577096483311</v>
      </c>
      <c r="I1791">
        <v>-0.8685782556750291</v>
      </c>
    </row>
    <row r="1792" spans="1:9">
      <c r="A1792" s="1" t="s">
        <v>1804</v>
      </c>
      <c r="B1792">
        <f>HYPERLINK("https://www.suredividend.com/sure-analysis-research-database/","Veru Inc")</f>
        <v>0</v>
      </c>
      <c r="C1792">
        <v>-0.318561335902376</v>
      </c>
      <c r="D1792">
        <v>-0.203453453453453</v>
      </c>
      <c r="E1792">
        <v>1.439080459770115</v>
      </c>
      <c r="F1792">
        <v>0.8013582342954161</v>
      </c>
      <c r="G1792">
        <v>0.255621301775147</v>
      </c>
      <c r="H1792">
        <v>2.915129151291513</v>
      </c>
      <c r="I1792">
        <v>4.331658291457286</v>
      </c>
    </row>
    <row r="1793" spans="1:9">
      <c r="A1793" s="1" t="s">
        <v>1805</v>
      </c>
      <c r="B1793">
        <f>HYPERLINK("https://www.suredividend.com/sure-analysis-research-database/","Verve Therapeutics Inc")</f>
        <v>0</v>
      </c>
      <c r="C1793">
        <v>-0.177032258064516</v>
      </c>
      <c r="D1793">
        <v>0.502119642016015</v>
      </c>
      <c r="E1793">
        <v>0.626211116777154</v>
      </c>
      <c r="F1793">
        <v>-0.13506916192026</v>
      </c>
      <c r="G1793">
        <v>-0.274237596722803</v>
      </c>
      <c r="H1793">
        <v>-0.0009398496240600001</v>
      </c>
      <c r="I1793">
        <v>-0.0009398496240600001</v>
      </c>
    </row>
    <row r="1794" spans="1:9">
      <c r="A1794" s="1" t="s">
        <v>1806</v>
      </c>
      <c r="B1794">
        <f>HYPERLINK("https://www.suredividend.com/sure-analysis-research-database/","Vonage Holdings Corp")</f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>
      <c r="A1795" s="1" t="s">
        <v>1807</v>
      </c>
      <c r="B1795">
        <f>HYPERLINK("https://www.suredividend.com/sure-analysis-VGR/","Vector Group Ltd")</f>
        <v>0</v>
      </c>
      <c r="C1795">
        <v>-0.065277352129941</v>
      </c>
      <c r="D1795">
        <v>-0.076364003432089</v>
      </c>
      <c r="E1795">
        <v>-0.220726129947111</v>
      </c>
      <c r="F1795">
        <v>-0.155374219990399</v>
      </c>
      <c r="G1795">
        <v>-0.290659183056444</v>
      </c>
      <c r="H1795">
        <v>-0.043257316728881</v>
      </c>
      <c r="I1795">
        <v>-0.312200732149166</v>
      </c>
    </row>
    <row r="1796" spans="1:9">
      <c r="A1796" s="1" t="s">
        <v>1808</v>
      </c>
      <c r="B1796">
        <f>HYPERLINK("https://www.suredividend.com/sure-analysis-research-database/","Virnetx Holding Corp")</f>
        <v>0</v>
      </c>
      <c r="C1796">
        <v>-0.158273381294964</v>
      </c>
      <c r="D1796">
        <v>-0.093023255813953</v>
      </c>
      <c r="E1796">
        <v>-0.353591160220994</v>
      </c>
      <c r="F1796">
        <v>-0.55</v>
      </c>
      <c r="G1796">
        <v>-0.6992287917737791</v>
      </c>
      <c r="H1796">
        <v>-0.8046744574290481</v>
      </c>
      <c r="I1796">
        <v>-0.8305551130356701</v>
      </c>
    </row>
    <row r="1797" spans="1:9">
      <c r="A1797" s="1" t="s">
        <v>1809</v>
      </c>
      <c r="B1797">
        <f>HYPERLINK("https://www.suredividend.com/sure-analysis-research-database/","Valhi, Inc.")</f>
        <v>0</v>
      </c>
      <c r="C1797">
        <v>-0.14228855721393</v>
      </c>
      <c r="D1797">
        <v>-0.400037584652469</v>
      </c>
      <c r="E1797">
        <v>-0.08463093211189701</v>
      </c>
      <c r="F1797">
        <v>-0.09417624682121001</v>
      </c>
      <c r="G1797">
        <v>0.09067443831953401</v>
      </c>
      <c r="H1797">
        <v>0.820511376436134</v>
      </c>
      <c r="I1797">
        <v>-0.08226601509683</v>
      </c>
    </row>
    <row r="1798" spans="1:9">
      <c r="A1798" s="1" t="s">
        <v>1810</v>
      </c>
      <c r="B1798">
        <f>HYPERLINK("https://www.suredividend.com/sure-analysis-VIA/","Via Renewables Inc")</f>
        <v>0</v>
      </c>
      <c r="C1798">
        <v>-0.191139240506329</v>
      </c>
      <c r="D1798">
        <v>-0.136194660358229</v>
      </c>
      <c r="E1798">
        <v>-0.169158756988688</v>
      </c>
      <c r="F1798">
        <v>-0.419412871044239</v>
      </c>
      <c r="G1798">
        <v>-0.360321941257733</v>
      </c>
      <c r="H1798">
        <v>-0.265850562101114</v>
      </c>
      <c r="I1798">
        <v>-0.495517686486742</v>
      </c>
    </row>
    <row r="1799" spans="1:9">
      <c r="A1799" s="1" t="s">
        <v>1811</v>
      </c>
      <c r="B1799">
        <f>HYPERLINK("https://www.suredividend.com/sure-analysis-research-database/","Viavi Solutions Inc")</f>
        <v>0</v>
      </c>
      <c r="C1799">
        <v>-0.031468531468531</v>
      </c>
      <c r="D1799">
        <v>0.028974739970282</v>
      </c>
      <c r="E1799">
        <v>-0.071093226022803</v>
      </c>
      <c r="F1799">
        <v>-0.213961407491487</v>
      </c>
      <c r="G1799">
        <v>-0.09358638743455401</v>
      </c>
      <c r="H1799">
        <v>0.09227129337539401</v>
      </c>
      <c r="I1799">
        <v>0.46097046413502</v>
      </c>
    </row>
    <row r="1800" spans="1:9">
      <c r="A1800" s="1" t="s">
        <v>1812</v>
      </c>
      <c r="B1800">
        <f>HYPERLINK("https://www.suredividend.com/sure-analysis-research-database/","Vicor Corp.")</f>
        <v>0</v>
      </c>
      <c r="C1800">
        <v>-0.189873417721519</v>
      </c>
      <c r="D1800">
        <v>0.02258953168044</v>
      </c>
      <c r="E1800">
        <v>-0.151607496571689</v>
      </c>
      <c r="F1800">
        <v>-0.56150574893684</v>
      </c>
      <c r="G1800">
        <v>-0.6004305705059201</v>
      </c>
      <c r="H1800">
        <v>-0.357563170647282</v>
      </c>
      <c r="I1800">
        <v>1.329707112970711</v>
      </c>
    </row>
    <row r="1801" spans="1:9">
      <c r="A1801" s="1" t="s">
        <v>1813</v>
      </c>
      <c r="B1801">
        <f>HYPERLINK("https://www.suredividend.com/sure-analysis-research-database/","View Inc.")</f>
        <v>0</v>
      </c>
      <c r="C1801">
        <v>-0.312883435582821</v>
      </c>
      <c r="D1801">
        <v>-0.377777777777777</v>
      </c>
      <c r="E1801">
        <v>-0.286624203821656</v>
      </c>
      <c r="F1801">
        <v>-0.7135549872122761</v>
      </c>
      <c r="G1801">
        <v>-0.7795275590551181</v>
      </c>
      <c r="H1801">
        <v>-0.8845360824742261</v>
      </c>
      <c r="I1801">
        <v>-0.8845360824742261</v>
      </c>
    </row>
    <row r="1802" spans="1:9">
      <c r="A1802" s="1" t="s">
        <v>1814</v>
      </c>
      <c r="B1802">
        <f>HYPERLINK("https://www.suredividend.com/sure-analysis-research-database/","Vigil Neuroscience Inc")</f>
        <v>0</v>
      </c>
      <c r="C1802">
        <v>-0.027055150884495</v>
      </c>
      <c r="D1802">
        <v>1.179487179487179</v>
      </c>
      <c r="E1802">
        <v>0.403903903903903</v>
      </c>
      <c r="F1802">
        <v>-0.260869565217391</v>
      </c>
      <c r="G1802">
        <v>-0.260869565217391</v>
      </c>
      <c r="H1802">
        <v>-0.260869565217391</v>
      </c>
      <c r="I1802">
        <v>-0.260869565217391</v>
      </c>
    </row>
    <row r="1803" spans="1:9">
      <c r="A1803" s="1" t="s">
        <v>1815</v>
      </c>
      <c r="B1803">
        <f>HYPERLINK("https://www.suredividend.com/sure-analysis-research-database/","Vincerx Pharma Inc")</f>
        <v>0</v>
      </c>
      <c r="C1803">
        <v>-0.245033112582781</v>
      </c>
      <c r="D1803">
        <v>-0.269230769230769</v>
      </c>
      <c r="E1803">
        <v>-0.683333333333333</v>
      </c>
      <c r="F1803">
        <v>-0.888125613346418</v>
      </c>
      <c r="G1803">
        <v>-0.9183381088825211</v>
      </c>
      <c r="H1803">
        <v>-0.9155555555555551</v>
      </c>
      <c r="I1803">
        <v>-0.8780748663101601</v>
      </c>
    </row>
    <row r="1804" spans="1:9">
      <c r="A1804" s="1" t="s">
        <v>1816</v>
      </c>
      <c r="B1804">
        <f>HYPERLINK("https://www.suredividend.com/sure-analysis-research-database/","Vir Biotechnology Inc")</f>
        <v>0</v>
      </c>
      <c r="C1804">
        <v>-0.049151027703306</v>
      </c>
      <c r="D1804">
        <v>-0.284946236559139</v>
      </c>
      <c r="E1804">
        <v>-0.040144339197113</v>
      </c>
      <c r="F1804">
        <v>-0.491760210174349</v>
      </c>
      <c r="G1804">
        <v>-0.425330812854442</v>
      </c>
      <c r="H1804">
        <v>-0.479579359256541</v>
      </c>
      <c r="I1804">
        <v>0.5178316690442221</v>
      </c>
    </row>
    <row r="1805" spans="1:9">
      <c r="A1805" s="1" t="s">
        <v>1817</v>
      </c>
      <c r="B1805">
        <f>HYPERLINK("https://www.suredividend.com/sure-analysis-research-database/","Viracta Therapeutics Inc")</f>
        <v>0</v>
      </c>
      <c r="C1805">
        <v>-0.235294117647058</v>
      </c>
      <c r="D1805">
        <v>-0.110375275938189</v>
      </c>
      <c r="E1805">
        <v>-0.167355371900826</v>
      </c>
      <c r="F1805">
        <v>0.104109589041095</v>
      </c>
      <c r="G1805">
        <v>-0.45466847090663</v>
      </c>
      <c r="H1805">
        <v>-0.18338399189463</v>
      </c>
      <c r="I1805">
        <v>-0.949276274386406</v>
      </c>
    </row>
    <row r="1806" spans="1:9">
      <c r="A1806" s="1" t="s">
        <v>1818</v>
      </c>
      <c r="B1806">
        <f>HYPERLINK("https://www.suredividend.com/sure-analysis-research-database/","Vital Farms Inc")</f>
        <v>0</v>
      </c>
      <c r="C1806">
        <v>-0.156097560975609</v>
      </c>
      <c r="D1806">
        <v>0.306364617044228</v>
      </c>
      <c r="E1806">
        <v>-0.04870384917517601</v>
      </c>
      <c r="F1806">
        <v>-0.329457364341085</v>
      </c>
      <c r="G1806">
        <v>-0.319280494659921</v>
      </c>
      <c r="H1806">
        <v>-0.693882709807886</v>
      </c>
      <c r="I1806">
        <v>-0.65655133295519</v>
      </c>
    </row>
    <row r="1807" spans="1:9">
      <c r="A1807" s="1" t="s">
        <v>1819</v>
      </c>
      <c r="B1807">
        <f>HYPERLINK("https://www.suredividend.com/sure-analysis-research-database/","Meridian Bioscience Inc.")</f>
        <v>0</v>
      </c>
      <c r="C1807">
        <v>-0.003436426116838</v>
      </c>
      <c r="D1807">
        <v>-0.033333333333333</v>
      </c>
      <c r="E1807">
        <v>0.147894926232457</v>
      </c>
      <c r="F1807">
        <v>0.5637254901960781</v>
      </c>
      <c r="G1807">
        <v>0.703150026695141</v>
      </c>
      <c r="H1807">
        <v>0.693205944798301</v>
      </c>
      <c r="I1807">
        <v>1.239476566229535</v>
      </c>
    </row>
    <row r="1808" spans="1:9">
      <c r="A1808" s="1" t="s">
        <v>1820</v>
      </c>
      <c r="B1808">
        <f>HYPERLINK("https://www.suredividend.com/sure-analysis-research-database/","Viking Therapeutics Inc")</f>
        <v>0</v>
      </c>
      <c r="C1808">
        <v>-0.101587301587301</v>
      </c>
      <c r="D1808">
        <v>-0.170087976539589</v>
      </c>
      <c r="E1808">
        <v>-0.024137931034482</v>
      </c>
      <c r="F1808">
        <v>-0.384782608695652</v>
      </c>
      <c r="G1808">
        <v>-0.529900332225913</v>
      </c>
      <c r="H1808">
        <v>-0.5375816993464051</v>
      </c>
      <c r="I1808">
        <v>0.241228070175438</v>
      </c>
    </row>
    <row r="1809" spans="1:9">
      <c r="A1809" s="1" t="s">
        <v>1821</v>
      </c>
      <c r="B1809">
        <f>HYPERLINK("https://www.suredividend.com/sure-analysis-research-database/","Velodyne Lidar Inc")</f>
        <v>0</v>
      </c>
      <c r="C1809">
        <v>-0.281370967741935</v>
      </c>
      <c r="D1809">
        <v>-0.151333333333333</v>
      </c>
      <c r="E1809">
        <v>-0.591238532110091</v>
      </c>
      <c r="F1809">
        <v>-0.807952586206896</v>
      </c>
      <c r="G1809">
        <v>-0.846362068965517</v>
      </c>
      <c r="H1809">
        <v>-0.9473345153664301</v>
      </c>
      <c r="I1809">
        <v>-0.9063970588235291</v>
      </c>
    </row>
    <row r="1810" spans="1:9">
      <c r="A1810" s="1" t="s">
        <v>1822</v>
      </c>
      <c r="B1810">
        <f>HYPERLINK("https://www.suredividend.com/sure-analysis-research-database/","Village Super Market, Inc.")</f>
        <v>0</v>
      </c>
      <c r="C1810">
        <v>-0.091103507271171</v>
      </c>
      <c r="D1810">
        <v>-0.124468747340937</v>
      </c>
      <c r="E1810">
        <v>-0.183957991576609</v>
      </c>
      <c r="F1810">
        <v>-0.126108568159061</v>
      </c>
      <c r="G1810">
        <v>-0.072998411531804</v>
      </c>
      <c r="H1810">
        <v>-0.154441022801979</v>
      </c>
      <c r="I1810">
        <v>-0.05219014374712101</v>
      </c>
    </row>
    <row r="1811" spans="1:9">
      <c r="A1811" s="1" t="s">
        <v>1823</v>
      </c>
      <c r="B1811">
        <f>HYPERLINK("https://www.suredividend.com/sure-analysis-research-database/","Valley National Bancorp")</f>
        <v>0</v>
      </c>
      <c r="C1811">
        <v>-0.05728972910818701</v>
      </c>
      <c r="D1811">
        <v>0.06793605792715</v>
      </c>
      <c r="E1811">
        <v>-0.073135047964222</v>
      </c>
      <c r="F1811">
        <v>-0.166111987794571</v>
      </c>
      <c r="G1811">
        <v>-0.163553435057238</v>
      </c>
      <c r="H1811">
        <v>0.5812911277513041</v>
      </c>
      <c r="I1811">
        <v>0.13977879091448</v>
      </c>
    </row>
    <row r="1812" spans="1:9">
      <c r="A1812" s="1" t="s">
        <v>1824</v>
      </c>
      <c r="B1812">
        <f>HYPERLINK("https://www.suredividend.com/sure-analysis-research-database/","Viemed Healthcare Inc")</f>
        <v>0</v>
      </c>
      <c r="C1812">
        <v>0.015734265734265</v>
      </c>
      <c r="D1812">
        <v>-0.110260336906585</v>
      </c>
      <c r="E1812">
        <v>0.115163147792706</v>
      </c>
      <c r="F1812">
        <v>0.113026819923371</v>
      </c>
      <c r="G1812">
        <v>0.050632911392404</v>
      </c>
      <c r="H1812">
        <v>-0.335240274599542</v>
      </c>
      <c r="I1812">
        <v>-0.172364672364672</v>
      </c>
    </row>
    <row r="1813" spans="1:9">
      <c r="A1813" s="1" t="s">
        <v>1825</v>
      </c>
      <c r="B1813">
        <f>HYPERLINK("https://www.suredividend.com/sure-analysis-research-database/","Vanda Pharmaceuticals Inc")</f>
        <v>0</v>
      </c>
      <c r="C1813">
        <v>-0.048590864917395</v>
      </c>
      <c r="D1813">
        <v>-0.167517006802721</v>
      </c>
      <c r="E1813">
        <v>-0.171041490262489</v>
      </c>
      <c r="F1813">
        <v>-0.376035691523263</v>
      </c>
      <c r="G1813">
        <v>-0.4588170259812051</v>
      </c>
      <c r="H1813">
        <v>-0.107566089334548</v>
      </c>
      <c r="I1813">
        <v>-0.4172619047619041</v>
      </c>
    </row>
    <row r="1814" spans="1:9">
      <c r="A1814" s="1" t="s">
        <v>1826</v>
      </c>
      <c r="B1814">
        <f>HYPERLINK("https://www.suredividend.com/sure-analysis-research-database/","Vor Biopharma Inc")</f>
        <v>0</v>
      </c>
      <c r="C1814">
        <v>-0.252427184466019</v>
      </c>
      <c r="D1814">
        <v>-0.302536231884057</v>
      </c>
      <c r="E1814">
        <v>-0.354026845637583</v>
      </c>
      <c r="F1814">
        <v>-0.66867469879518</v>
      </c>
      <c r="G1814">
        <v>-0.7286821705426351</v>
      </c>
      <c r="H1814">
        <v>-0.8973333333333331</v>
      </c>
      <c r="I1814">
        <v>-0.8973333333333331</v>
      </c>
    </row>
    <row r="1815" spans="1:9">
      <c r="A1815" s="1" t="s">
        <v>1827</v>
      </c>
      <c r="B1815">
        <f>HYPERLINK("https://www.suredividend.com/sure-analysis-research-database/","VOXX International Corp")</f>
        <v>0</v>
      </c>
      <c r="C1815">
        <v>-0.166666666666666</v>
      </c>
      <c r="D1815">
        <v>-0.30168986083499</v>
      </c>
      <c r="E1815">
        <v>-0.21244394618834</v>
      </c>
      <c r="F1815">
        <v>-0.309242871189773</v>
      </c>
      <c r="G1815">
        <v>-0.364253393665158</v>
      </c>
      <c r="H1815">
        <v>-0.213325867861142</v>
      </c>
      <c r="I1815">
        <v>-0.18313953488372</v>
      </c>
    </row>
    <row r="1816" spans="1:9">
      <c r="A1816" s="1" t="s">
        <v>1828</v>
      </c>
      <c r="B1816">
        <f>HYPERLINK("https://www.suredividend.com/sure-analysis-research-database/","Vishay Precision Group Inc")</f>
        <v>0</v>
      </c>
      <c r="C1816">
        <v>-0.07621589561091301</v>
      </c>
      <c r="D1816">
        <v>0.083478260869565</v>
      </c>
      <c r="E1816">
        <v>-0.021978021978022</v>
      </c>
      <c r="F1816">
        <v>-0.16082974137931</v>
      </c>
      <c r="G1816">
        <v>-0.116562677254679</v>
      </c>
      <c r="H1816">
        <v>0.142280894756142</v>
      </c>
      <c r="I1816">
        <v>0.287190082644628</v>
      </c>
    </row>
    <row r="1817" spans="1:9">
      <c r="A1817" s="1" t="s">
        <v>1829</v>
      </c>
      <c r="B1817">
        <f>HYPERLINK("https://www.suredividend.com/sure-analysis-research-database/","Vera Bradley Inc")</f>
        <v>0</v>
      </c>
      <c r="C1817">
        <v>-0.136363636363636</v>
      </c>
      <c r="D1817">
        <v>-0.301149425287356</v>
      </c>
      <c r="E1817">
        <v>-0.556204379562043</v>
      </c>
      <c r="F1817">
        <v>-0.642773207990599</v>
      </c>
      <c r="G1817">
        <v>-0.6830031282586021</v>
      </c>
      <c r="H1817">
        <v>-0.57422969187675</v>
      </c>
      <c r="I1817">
        <v>-0.6292682926829261</v>
      </c>
    </row>
    <row r="1818" spans="1:9">
      <c r="A1818" s="1" t="s">
        <v>1830</v>
      </c>
      <c r="B1818">
        <f>HYPERLINK("https://www.suredividend.com/sure-analysis-research-database/","ViewRay Inc.")</f>
        <v>0</v>
      </c>
      <c r="C1818">
        <v>0.06983240223463601</v>
      </c>
      <c r="D1818">
        <v>0.289562289562289</v>
      </c>
      <c r="E1818">
        <v>0.04644808743169301</v>
      </c>
      <c r="F1818">
        <v>-0.304900181488203</v>
      </c>
      <c r="G1818">
        <v>-0.402496099843993</v>
      </c>
      <c r="H1818">
        <v>0.212025316455696</v>
      </c>
      <c r="I1818">
        <v>-0.382258064516129</v>
      </c>
    </row>
    <row r="1819" spans="1:9">
      <c r="A1819" s="1" t="s">
        <v>1831</v>
      </c>
      <c r="B1819">
        <f>HYPERLINK("https://www.suredividend.com/sure-analysis-research-database/","Verrica Pharmaceuticals Inc")</f>
        <v>0</v>
      </c>
      <c r="C1819">
        <v>-0.412195121951219</v>
      </c>
      <c r="D1819">
        <v>-0.301449275362318</v>
      </c>
      <c r="E1819">
        <v>-0.7255125284738041</v>
      </c>
      <c r="F1819">
        <v>-0.736899563318777</v>
      </c>
      <c r="G1819">
        <v>-0.8058017727639001</v>
      </c>
      <c r="H1819">
        <v>-0.7295173961840621</v>
      </c>
      <c r="I1819">
        <v>-0.8622857142857141</v>
      </c>
    </row>
    <row r="1820" spans="1:9">
      <c r="A1820" s="1" t="s">
        <v>1832</v>
      </c>
      <c r="B1820">
        <f>HYPERLINK("https://www.suredividend.com/sure-analysis-research-database/","Veris Residential Inc")</f>
        <v>0</v>
      </c>
      <c r="C1820">
        <v>-0.180585296216987</v>
      </c>
      <c r="D1820">
        <v>-0.110766847405112</v>
      </c>
      <c r="E1820">
        <v>-0.312574850299401</v>
      </c>
      <c r="F1820">
        <v>-0.375408052230685</v>
      </c>
      <c r="G1820">
        <v>-0.351778656126482</v>
      </c>
      <c r="H1820">
        <v>-0.103825136612021</v>
      </c>
      <c r="I1820">
        <v>-0.457528446679015</v>
      </c>
    </row>
    <row r="1821" spans="1:9">
      <c r="A1821" s="1" t="s">
        <v>1833</v>
      </c>
      <c r="B1821">
        <f>HYPERLINK("https://www.suredividend.com/sure-analysis-research-database/","Varex Imaging Corp")</f>
        <v>0</v>
      </c>
      <c r="C1821">
        <v>-0.03747714808043801</v>
      </c>
      <c r="D1821">
        <v>-0.020465116279069</v>
      </c>
      <c r="E1821">
        <v>-0.021830004644681</v>
      </c>
      <c r="F1821">
        <v>-0.332488114104595</v>
      </c>
      <c r="G1821">
        <v>-0.209756097560975</v>
      </c>
      <c r="H1821">
        <v>0.557692307692307</v>
      </c>
      <c r="I1821">
        <v>-0.362976406533575</v>
      </c>
    </row>
    <row r="1822" spans="1:9">
      <c r="A1822" s="1" t="s">
        <v>1834</v>
      </c>
      <c r="B1822">
        <f>HYPERLINK("https://www.suredividend.com/sure-analysis-research-database/","Varonis Systems Inc")</f>
        <v>0</v>
      </c>
      <c r="C1822">
        <v>-0.223600402279584</v>
      </c>
      <c r="D1822">
        <v>-0.279850746268656</v>
      </c>
      <c r="E1822">
        <v>-0.479082321187584</v>
      </c>
      <c r="F1822">
        <v>-0.5252152521525211</v>
      </c>
      <c r="G1822">
        <v>-0.608121827411167</v>
      </c>
      <c r="H1822">
        <v>-0.444870565675934</v>
      </c>
      <c r="I1822">
        <v>0.5935816366551291</v>
      </c>
    </row>
    <row r="1823" spans="1:9">
      <c r="A1823" s="1" t="s">
        <v>1835</v>
      </c>
      <c r="B1823">
        <f>HYPERLINK("https://www.suredividend.com/sure-analysis-research-database/","Verint Systems, Inc.")</f>
        <v>0</v>
      </c>
      <c r="C1823">
        <v>-0.171537182228557</v>
      </c>
      <c r="D1823">
        <v>-0.196358607974187</v>
      </c>
      <c r="E1823">
        <v>-0.309368191721132</v>
      </c>
      <c r="F1823">
        <v>-0.335936012188154</v>
      </c>
      <c r="G1823">
        <v>-0.240470485732955</v>
      </c>
      <c r="H1823">
        <v>0.153638742676031</v>
      </c>
      <c r="I1823">
        <v>0.432556458007238</v>
      </c>
    </row>
    <row r="1824" spans="1:9">
      <c r="A1824" s="1" t="s">
        <v>1836</v>
      </c>
      <c r="B1824">
        <f>HYPERLINK("https://www.suredividend.com/sure-analysis-research-database/","Verra Mobility Corp")</f>
        <v>0</v>
      </c>
      <c r="C1824">
        <v>-0.024390243902438</v>
      </c>
      <c r="D1824">
        <v>-0.008059516429014001</v>
      </c>
      <c r="E1824">
        <v>0.100412654745529</v>
      </c>
      <c r="F1824">
        <v>0.036941023979261</v>
      </c>
      <c r="G1824">
        <v>0.066666666666666</v>
      </c>
      <c r="H1824">
        <v>0.489757914338919</v>
      </c>
      <c r="I1824">
        <v>0.604814443329989</v>
      </c>
    </row>
    <row r="1825" spans="1:9">
      <c r="A1825" s="1" t="s">
        <v>1837</v>
      </c>
      <c r="B1825">
        <f>HYPERLINK("https://www.suredividend.com/sure-analysis-research-database/","Virtus Investment Partners Inc")</f>
        <v>0</v>
      </c>
      <c r="C1825">
        <v>-0.206910548480389</v>
      </c>
      <c r="D1825">
        <v>-0.09965693536607</v>
      </c>
      <c r="E1825">
        <v>-0.2207021707266</v>
      </c>
      <c r="F1825">
        <v>-0.462200590818978</v>
      </c>
      <c r="G1825">
        <v>-0.505972982907379</v>
      </c>
      <c r="H1825">
        <v>0.047675221351635</v>
      </c>
      <c r="I1825">
        <v>0.410909432269397</v>
      </c>
    </row>
    <row r="1826" spans="1:9">
      <c r="A1826" s="1" t="s">
        <v>1838</v>
      </c>
      <c r="B1826">
        <f>HYPERLINK("https://www.suredividend.com/sure-analysis-research-database/","Veritiv Corp")</f>
        <v>0</v>
      </c>
      <c r="C1826">
        <v>-0.137254901960784</v>
      </c>
      <c r="D1826">
        <v>-0.013076262288823</v>
      </c>
      <c r="E1826">
        <v>-0.199628454214722</v>
      </c>
      <c r="F1826">
        <v>-0.156400424247368</v>
      </c>
      <c r="G1826">
        <v>0.070615034168564</v>
      </c>
      <c r="H1826">
        <v>5.573426573426573</v>
      </c>
      <c r="I1826">
        <v>2.211180124223602</v>
      </c>
    </row>
    <row r="1827" spans="1:9">
      <c r="A1827" s="1" t="s">
        <v>1839</v>
      </c>
      <c r="B1827">
        <f>HYPERLINK("https://www.suredividend.com/sure-analysis-research-database/","VSE Corp.")</f>
        <v>0</v>
      </c>
      <c r="C1827">
        <v>-0.071498530852105</v>
      </c>
      <c r="D1827">
        <v>0.084435547293915</v>
      </c>
      <c r="E1827">
        <v>-0.05216587097257901</v>
      </c>
      <c r="F1827">
        <v>-0.373280115030864</v>
      </c>
      <c r="G1827">
        <v>-0.209466389813123</v>
      </c>
      <c r="H1827">
        <v>0.259302800553933</v>
      </c>
      <c r="I1827">
        <v>-0.317458974640505</v>
      </c>
    </row>
    <row r="1828" spans="1:9">
      <c r="A1828" s="1" t="s">
        <v>1840</v>
      </c>
      <c r="B1828">
        <f>HYPERLINK("https://www.suredividend.com/sure-analysis-research-database/","Vishay Intertechnology, Inc.")</f>
        <v>0</v>
      </c>
      <c r="C1828">
        <v>-0.05635245901639301</v>
      </c>
      <c r="D1828">
        <v>0.015760276163271</v>
      </c>
      <c r="E1828">
        <v>0.04291699694258801</v>
      </c>
      <c r="F1828">
        <v>-0.144227016780955</v>
      </c>
      <c r="G1828">
        <v>-0.06711032104167601</v>
      </c>
      <c r="H1828">
        <v>0.08116357147888101</v>
      </c>
      <c r="I1828">
        <v>-0.030811971208485</v>
      </c>
    </row>
    <row r="1829" spans="1:9">
      <c r="A1829" s="1" t="s">
        <v>1841</v>
      </c>
      <c r="B1829">
        <f>HYPERLINK("https://www.suredividend.com/sure-analysis-research-database/","Verastem Inc")</f>
        <v>0</v>
      </c>
      <c r="C1829">
        <v>-0.6108870967741931</v>
      </c>
      <c r="D1829">
        <v>-0.5945378151260501</v>
      </c>
      <c r="E1829">
        <v>-0.6907051282051281</v>
      </c>
      <c r="F1829">
        <v>-0.7646341463414631</v>
      </c>
      <c r="G1829">
        <v>-0.828900709219858</v>
      </c>
      <c r="H1829">
        <v>-0.6553571428571421</v>
      </c>
      <c r="I1829">
        <v>-0.8971215351812361</v>
      </c>
    </row>
    <row r="1830" spans="1:9">
      <c r="A1830" s="1" t="s">
        <v>1842</v>
      </c>
      <c r="B1830">
        <f>HYPERLINK("https://www.suredividend.com/sure-analysis-research-database/","Vista Outdoor Inc")</f>
        <v>0</v>
      </c>
      <c r="C1830">
        <v>-0.127666896077081</v>
      </c>
      <c r="D1830">
        <v>-0.05797101449275301</v>
      </c>
      <c r="E1830">
        <v>-0.285109983079526</v>
      </c>
      <c r="F1830">
        <v>-0.449750379856739</v>
      </c>
      <c r="G1830">
        <v>-0.384409907722195</v>
      </c>
      <c r="H1830">
        <v>0.181818181818181</v>
      </c>
      <c r="I1830">
        <v>0.196319018404907</v>
      </c>
    </row>
    <row r="1831" spans="1:9">
      <c r="A1831" s="1" t="s">
        <v>1843</v>
      </c>
      <c r="B1831">
        <f>HYPERLINK("https://www.suredividend.com/sure-analysis-research-database/","VistaGen Therapeutics Inc")</f>
        <v>0</v>
      </c>
      <c r="C1831">
        <v>-0.375907111756168</v>
      </c>
      <c r="D1831">
        <v>-0.8614244279729291</v>
      </c>
      <c r="E1831">
        <v>-0.9051470588235291</v>
      </c>
      <c r="F1831">
        <v>-0.9338461538461541</v>
      </c>
      <c r="G1831">
        <v>-0.9488095238095231</v>
      </c>
      <c r="H1831">
        <v>-0.8268456375838921</v>
      </c>
      <c r="I1831">
        <v>-0.905839416058394</v>
      </c>
    </row>
    <row r="1832" spans="1:9">
      <c r="A1832" s="1" t="s">
        <v>1844</v>
      </c>
      <c r="B1832">
        <f>HYPERLINK("https://www.suredividend.com/sure-analysis-research-database/","Bristow Group Inc.")</f>
        <v>0</v>
      </c>
      <c r="C1832">
        <v>-0.106088224571636</v>
      </c>
      <c r="D1832">
        <v>0.022945348352106</v>
      </c>
      <c r="E1832">
        <v>-0.269803454437164</v>
      </c>
      <c r="F1832">
        <v>-0.22576570887275</v>
      </c>
      <c r="G1832">
        <v>-0.283878504672897</v>
      </c>
      <c r="H1832">
        <v>0.017427385892116</v>
      </c>
      <c r="I1832">
        <v>1.193202146690518</v>
      </c>
    </row>
    <row r="1833" spans="1:9">
      <c r="A1833" s="1" t="s">
        <v>1845</v>
      </c>
      <c r="B1833">
        <f>HYPERLINK("https://www.suredividend.com/sure-analysis-research-database/","Ventyx Biosciences Inc")</f>
        <v>0</v>
      </c>
      <c r="C1833">
        <v>0.449783549783549</v>
      </c>
      <c r="D1833">
        <v>1.405890804597701</v>
      </c>
      <c r="E1833">
        <v>1.568251533742331</v>
      </c>
      <c r="F1833">
        <v>0.6863041289023161</v>
      </c>
      <c r="G1833">
        <v>0.593244529019981</v>
      </c>
      <c r="H1833">
        <v>0.593244529019981</v>
      </c>
      <c r="I1833">
        <v>0.593244529019981</v>
      </c>
    </row>
    <row r="1834" spans="1:9">
      <c r="A1834" s="1" t="s">
        <v>1846</v>
      </c>
      <c r="B1834">
        <f>HYPERLINK("https://www.suredividend.com/sure-analysis-research-database/","Vuzix Corporation")</f>
        <v>0</v>
      </c>
      <c r="C1834">
        <v>-0.356147021546261</v>
      </c>
      <c r="D1834">
        <v>-0.299310344827586</v>
      </c>
      <c r="E1834">
        <v>-0.131623931623931</v>
      </c>
      <c r="F1834">
        <v>-0.414071510957324</v>
      </c>
      <c r="G1834">
        <v>-0.487903225806451</v>
      </c>
      <c r="H1834">
        <v>0.114035087719298</v>
      </c>
      <c r="I1834">
        <v>-0.06788990825688</v>
      </c>
    </row>
    <row r="1835" spans="1:9">
      <c r="A1835" s="1" t="s">
        <v>1847</v>
      </c>
      <c r="B1835">
        <f>HYPERLINK("https://www.suredividend.com/sure-analysis-research-database/","Viad Corp.")</f>
        <v>0</v>
      </c>
      <c r="C1835">
        <v>-0.125065138092756</v>
      </c>
      <c r="D1835">
        <v>0.23728813559322</v>
      </c>
      <c r="E1835">
        <v>-0.005037037037037</v>
      </c>
      <c r="F1835">
        <v>-0.215237204954428</v>
      </c>
      <c r="G1835">
        <v>-0.270792616720955</v>
      </c>
      <c r="H1835">
        <v>0.4449225473321851</v>
      </c>
      <c r="I1835">
        <v>-0.4399609073367121</v>
      </c>
    </row>
    <row r="1836" spans="1:9">
      <c r="A1836" s="1" t="s">
        <v>1848</v>
      </c>
      <c r="B1836">
        <f>HYPERLINK("https://www.suredividend.com/sure-analysis-research-database/","Vivint Smart Home Inc")</f>
        <v>0</v>
      </c>
      <c r="C1836">
        <v>-0.104734576757532</v>
      </c>
      <c r="D1836">
        <v>0.625</v>
      </c>
      <c r="E1836">
        <v>0.098591549295774</v>
      </c>
      <c r="F1836">
        <v>-0.361963190184049</v>
      </c>
      <c r="G1836">
        <v>-0.296505073280721</v>
      </c>
      <c r="H1836">
        <v>-0.6788471435923821</v>
      </c>
      <c r="I1836">
        <v>-0.36</v>
      </c>
    </row>
    <row r="1837" spans="1:9">
      <c r="A1837" s="1" t="s">
        <v>1849</v>
      </c>
      <c r="B1837">
        <f>HYPERLINK("https://www.suredividend.com/sure-analysis-research-database/","Vaxart Inc")</f>
        <v>0</v>
      </c>
      <c r="C1837">
        <v>-0.365853658536585</v>
      </c>
      <c r="D1837">
        <v>-0.59375</v>
      </c>
      <c r="E1837">
        <v>-0.613588110403397</v>
      </c>
      <c r="F1837">
        <v>-0.7097288676236041</v>
      </c>
      <c r="G1837">
        <v>-0.739628040057224</v>
      </c>
      <c r="H1837">
        <v>-0.75034293552812</v>
      </c>
      <c r="I1837">
        <v>1.309644670050761</v>
      </c>
    </row>
    <row r="1838" spans="1:9">
      <c r="A1838" s="1" t="s">
        <v>1850</v>
      </c>
      <c r="B1838">
        <f>HYPERLINK("https://www.suredividend.com/sure-analysis-WABC/","Westamerica Bancorporation")</f>
        <v>0</v>
      </c>
      <c r="C1838">
        <v>-0.064378445669571</v>
      </c>
      <c r="D1838">
        <v>-0.044061132117983</v>
      </c>
      <c r="E1838">
        <v>-0.097723986890329</v>
      </c>
      <c r="F1838">
        <v>-0.068795168567367</v>
      </c>
      <c r="G1838">
        <v>-0.036039056817078</v>
      </c>
      <c r="H1838">
        <v>-0.018395063801522</v>
      </c>
      <c r="I1838">
        <v>0.019393866585543</v>
      </c>
    </row>
    <row r="1839" spans="1:9">
      <c r="A1839" s="1" t="s">
        <v>1851</v>
      </c>
      <c r="B1839">
        <f>HYPERLINK("https://www.suredividend.com/sure-analysis-WAFD/","Washington Federal Inc.")</f>
        <v>0</v>
      </c>
      <c r="C1839">
        <v>-0.016874999999999</v>
      </c>
      <c r="D1839">
        <v>0.041963368992812</v>
      </c>
      <c r="E1839">
        <v>0.018139452094694</v>
      </c>
      <c r="F1839">
        <v>-0.037175551726565</v>
      </c>
      <c r="G1839">
        <v>-0.07905868439464001</v>
      </c>
      <c r="H1839">
        <v>0.440331102178352</v>
      </c>
      <c r="I1839">
        <v>0.04341827275471</v>
      </c>
    </row>
    <row r="1840" spans="1:9">
      <c r="A1840" s="1" t="s">
        <v>1852</v>
      </c>
      <c r="B1840">
        <f>HYPERLINK("https://www.suredividend.com/sure-analysis-WASH/","Washington Trust Bancorp, Inc.")</f>
        <v>0</v>
      </c>
      <c r="C1840">
        <v>-0.04982039164906801</v>
      </c>
      <c r="D1840">
        <v>-0.017698524566919</v>
      </c>
      <c r="E1840">
        <v>-0.01255528307028</v>
      </c>
      <c r="F1840">
        <v>-0.136437709314411</v>
      </c>
      <c r="G1840">
        <v>-0.103815489857763</v>
      </c>
      <c r="H1840">
        <v>0.507163103777025</v>
      </c>
      <c r="I1840">
        <v>-0.017684186821412</v>
      </c>
    </row>
    <row r="1841" spans="1:9">
      <c r="A1841" s="1" t="s">
        <v>1853</v>
      </c>
      <c r="B1841">
        <f>HYPERLINK("https://www.suredividend.com/sure-analysis-research-database/","Welbilt Inc")</f>
        <v>0</v>
      </c>
      <c r="C1841">
        <v>0.007130872483221</v>
      </c>
      <c r="D1841">
        <v>0.01522198731501</v>
      </c>
      <c r="E1841">
        <v>0.012225969645868</v>
      </c>
      <c r="F1841">
        <v>0.010096760622633</v>
      </c>
      <c r="G1841">
        <v>0.027385537013264</v>
      </c>
      <c r="H1841">
        <v>2.775157232704402</v>
      </c>
      <c r="I1841">
        <v>0.232546201232032</v>
      </c>
    </row>
    <row r="1842" spans="1:9">
      <c r="A1842" s="1" t="s">
        <v>1854</v>
      </c>
      <c r="B1842">
        <f>HYPERLINK("https://www.suredividend.com/sure-analysis-research-database/","Wesco International, Inc.")</f>
        <v>0</v>
      </c>
      <c r="C1842">
        <v>-0.148160951327433</v>
      </c>
      <c r="D1842">
        <v>0.151818266803776</v>
      </c>
      <c r="E1842">
        <v>0.041504649196956</v>
      </c>
      <c r="F1842">
        <v>-0.06368265065734401</v>
      </c>
      <c r="G1842">
        <v>0.055693599520178</v>
      </c>
      <c r="H1842">
        <v>1.562071116656269</v>
      </c>
      <c r="I1842">
        <v>1.124310344827586</v>
      </c>
    </row>
    <row r="1843" spans="1:9">
      <c r="A1843" s="1" t="s">
        <v>1855</v>
      </c>
      <c r="B1843">
        <f>HYPERLINK("https://www.suredividend.com/sure-analysis-research-database/","Walker &amp; Dunlop Inc")</f>
        <v>0</v>
      </c>
      <c r="C1843">
        <v>-0.162641695416461</v>
      </c>
      <c r="D1843">
        <v>-0.141288602842693</v>
      </c>
      <c r="E1843">
        <v>-0.31842999004322</v>
      </c>
      <c r="F1843">
        <v>-0.428292617268995</v>
      </c>
      <c r="G1843">
        <v>-0.27455600180016</v>
      </c>
      <c r="H1843">
        <v>0.492702538385034</v>
      </c>
      <c r="I1843">
        <v>0.750034506271901</v>
      </c>
    </row>
    <row r="1844" spans="1:9">
      <c r="A1844" s="1" t="s">
        <v>1856</v>
      </c>
      <c r="B1844">
        <f>HYPERLINK("https://www.suredividend.com/sure-analysis-WDFC/","WD-40 Co.")</f>
        <v>0</v>
      </c>
      <c r="C1844">
        <v>-0.09103788435302701</v>
      </c>
      <c r="D1844">
        <v>-0.00156137518595</v>
      </c>
      <c r="E1844">
        <v>-0.06484339109390601</v>
      </c>
      <c r="F1844">
        <v>-0.283381127229945</v>
      </c>
      <c r="G1844">
        <v>-0.24264449672343</v>
      </c>
      <c r="H1844">
        <v>-0.102576124059279</v>
      </c>
      <c r="I1844">
        <v>0.6360665646663261</v>
      </c>
    </row>
    <row r="1845" spans="1:9">
      <c r="A1845" s="1" t="s">
        <v>1857</v>
      </c>
      <c r="B1845">
        <f>HYPERLINK("https://www.suredividend.com/sure-analysis-research-database/","Weber Inc")</f>
        <v>0</v>
      </c>
      <c r="C1845">
        <v>0.07456140350877101</v>
      </c>
      <c r="D1845">
        <v>-0.092592592592592</v>
      </c>
      <c r="E1845">
        <v>-0.249226243373272</v>
      </c>
      <c r="F1845">
        <v>-0.42656971663962</v>
      </c>
      <c r="G1845">
        <v>-0.5493285915752041</v>
      </c>
      <c r="H1845">
        <v>-0.5493285915752041</v>
      </c>
      <c r="I1845">
        <v>-0.5493285915752041</v>
      </c>
    </row>
    <row r="1846" spans="1:9">
      <c r="A1846" s="1" t="s">
        <v>1858</v>
      </c>
      <c r="B1846">
        <f>HYPERLINK("https://www.suredividend.com/sure-analysis-research-database/","Werner Enterprises, Inc.")</f>
        <v>0</v>
      </c>
      <c r="C1846">
        <v>-0.034606786477001</v>
      </c>
      <c r="D1846">
        <v>-0.019227206865663</v>
      </c>
      <c r="E1846">
        <v>0.029678175618073</v>
      </c>
      <c r="F1846">
        <v>-0.180967073392979</v>
      </c>
      <c r="G1846">
        <v>-0.080722768344516</v>
      </c>
      <c r="H1846">
        <v>-0.09342953379056701</v>
      </c>
      <c r="I1846">
        <v>0.291117844150551</v>
      </c>
    </row>
    <row r="1847" spans="1:9">
      <c r="A1847" s="1" t="s">
        <v>1859</v>
      </c>
      <c r="B1847">
        <f>HYPERLINK("https://www.suredividend.com/sure-analysis-research-database/","Wisdomtree Investments Inc")</f>
        <v>0</v>
      </c>
      <c r="C1847">
        <v>-0.09640831758034001</v>
      </c>
      <c r="D1847">
        <v>-0.061143519336908</v>
      </c>
      <c r="E1847">
        <v>-0.169432329585932</v>
      </c>
      <c r="F1847">
        <v>-0.205953686168975</v>
      </c>
      <c r="G1847">
        <v>-0.123675429912367</v>
      </c>
      <c r="H1847">
        <v>0.257398395370248</v>
      </c>
      <c r="I1847">
        <v>-0.4976564306282441</v>
      </c>
    </row>
    <row r="1848" spans="1:9">
      <c r="A1848" s="1" t="s">
        <v>1860</v>
      </c>
      <c r="B1848">
        <f>HYPERLINK("https://www.suredividend.com/sure-analysis-WGO/","Winnebago Industries, Inc.")</f>
        <v>0</v>
      </c>
      <c r="C1848">
        <v>-0.050802367025358</v>
      </c>
      <c r="D1848">
        <v>0.047155878728587</v>
      </c>
      <c r="E1848">
        <v>0.028569316627859</v>
      </c>
      <c r="F1848">
        <v>-0.246861811455656</v>
      </c>
      <c r="G1848">
        <v>-0.264052550297234</v>
      </c>
      <c r="H1848">
        <v>0.060776428884526</v>
      </c>
      <c r="I1848">
        <v>0.335133981150767</v>
      </c>
    </row>
    <row r="1849" spans="1:9">
      <c r="A1849" s="1" t="s">
        <v>1861</v>
      </c>
      <c r="B1849">
        <f>HYPERLINK("https://www.suredividend.com/sure-analysis-research-database/","Cactus Inc")</f>
        <v>0</v>
      </c>
      <c r="C1849">
        <v>-0.06623113313809401</v>
      </c>
      <c r="D1849">
        <v>0.05273049591352601</v>
      </c>
      <c r="E1849">
        <v>-0.280076977052779</v>
      </c>
      <c r="F1849">
        <v>0.09459173972747401</v>
      </c>
      <c r="G1849">
        <v>-0.006976320757429001</v>
      </c>
      <c r="H1849">
        <v>1.064582326776811</v>
      </c>
      <c r="I1849">
        <v>1.102886713002892</v>
      </c>
    </row>
    <row r="1850" spans="1:9">
      <c r="A1850" s="1" t="s">
        <v>1862</v>
      </c>
      <c r="B1850">
        <f>HYPERLINK("https://www.suredividend.com/sure-analysis-research-database/","Winmark Corporation")</f>
        <v>0</v>
      </c>
      <c r="C1850">
        <v>-0.008502939846223001</v>
      </c>
      <c r="D1850">
        <v>0.0980880884842</v>
      </c>
      <c r="E1850">
        <v>-0.007148602526105</v>
      </c>
      <c r="F1850">
        <v>-0.109671046967065</v>
      </c>
      <c r="G1850">
        <v>0.060246184888711</v>
      </c>
      <c r="H1850">
        <v>0.232435738724972</v>
      </c>
      <c r="I1850">
        <v>0.640304715670289</v>
      </c>
    </row>
    <row r="1851" spans="1:9">
      <c r="A1851" s="1" t="s">
        <v>1863</v>
      </c>
      <c r="B1851">
        <f>HYPERLINK("https://www.suredividend.com/sure-analysis-research-database/","Wingstop Inc")</f>
        <v>0</v>
      </c>
      <c r="C1851">
        <v>-0.101927429864874</v>
      </c>
      <c r="D1851">
        <v>0.414043886876489</v>
      </c>
      <c r="E1851">
        <v>0.179378486543843</v>
      </c>
      <c r="F1851">
        <v>-0.211803028414943</v>
      </c>
      <c r="G1851">
        <v>-0.135885659450644</v>
      </c>
      <c r="H1851">
        <v>0.08277752738369401</v>
      </c>
      <c r="I1851">
        <v>3.755315362432537</v>
      </c>
    </row>
    <row r="1852" spans="1:9">
      <c r="A1852" s="1" t="s">
        <v>1864</v>
      </c>
      <c r="B1852">
        <f>HYPERLINK("https://www.suredividend.com/sure-analysis-research-database/","Encore Wire Corp.")</f>
        <v>0</v>
      </c>
      <c r="C1852">
        <v>0.035977235205318</v>
      </c>
      <c r="D1852">
        <v>0.268108278564643</v>
      </c>
      <c r="E1852">
        <v>0.236264251249386</v>
      </c>
      <c r="F1852">
        <v>-0.07765075759906601</v>
      </c>
      <c r="G1852">
        <v>0.300760733001848</v>
      </c>
      <c r="H1852">
        <v>1.669916177991713</v>
      </c>
      <c r="I1852">
        <v>1.888072414200821</v>
      </c>
    </row>
    <row r="1853" spans="1:9">
      <c r="A1853" s="1" t="s">
        <v>1865</v>
      </c>
      <c r="B1853">
        <f>HYPERLINK("https://www.suredividend.com/sure-analysis-research-database/","Workiva Inc")</f>
        <v>0</v>
      </c>
      <c r="C1853">
        <v>0.015570693730015</v>
      </c>
      <c r="D1853">
        <v>0.006475613116561</v>
      </c>
      <c r="E1853">
        <v>-0.336090157229846</v>
      </c>
      <c r="F1853">
        <v>-0.440186987508621</v>
      </c>
      <c r="G1853">
        <v>-0.462630572311313</v>
      </c>
      <c r="H1853">
        <v>0.208436724565756</v>
      </c>
      <c r="I1853">
        <v>2.253897550111358</v>
      </c>
    </row>
    <row r="1854" spans="1:9">
      <c r="A1854" s="1" t="s">
        <v>1866</v>
      </c>
      <c r="B1854">
        <f>HYPERLINK("https://www.suredividend.com/sure-analysis-research-database/","Workhorse Group Inc")</f>
        <v>0</v>
      </c>
      <c r="C1854">
        <v>-0.261980830670926</v>
      </c>
      <c r="D1854">
        <v>-0.206185567010309</v>
      </c>
      <c r="E1854">
        <v>-0.415189873417721</v>
      </c>
      <c r="F1854">
        <v>-0.470183486238532</v>
      </c>
      <c r="G1854">
        <v>-0.6200657894736841</v>
      </c>
      <c r="H1854">
        <v>-0.913709376167351</v>
      </c>
      <c r="I1854">
        <v>-0.138059701492537</v>
      </c>
    </row>
    <row r="1855" spans="1:9">
      <c r="A1855" s="1" t="s">
        <v>1867</v>
      </c>
      <c r="B1855">
        <f>HYPERLINK("https://www.suredividend.com/sure-analysis-research-database/","Willdan Group Inc")</f>
        <v>0</v>
      </c>
      <c r="C1855">
        <v>-0.356936416184971</v>
      </c>
      <c r="D1855">
        <v>-0.5250800426894341</v>
      </c>
      <c r="E1855">
        <v>-0.5398138572905891</v>
      </c>
      <c r="F1855">
        <v>-0.620738636363636</v>
      </c>
      <c r="G1855">
        <v>-0.5976491862567811</v>
      </c>
      <c r="H1855">
        <v>-0.530095036958817</v>
      </c>
      <c r="I1855">
        <v>-0.5926151968263651</v>
      </c>
    </row>
    <row r="1856" spans="1:9">
      <c r="A1856" s="1" t="s">
        <v>1868</v>
      </c>
      <c r="B1856">
        <f>HYPERLINK("https://www.suredividend.com/sure-analysis-research-database/","Willis Lease Finance Corp.")</f>
        <v>0</v>
      </c>
      <c r="C1856">
        <v>-0.013961127840131</v>
      </c>
      <c r="D1856">
        <v>-0.021195652173912</v>
      </c>
      <c r="E1856">
        <v>0.114480198019802</v>
      </c>
      <c r="F1856">
        <v>-0.043293492695883</v>
      </c>
      <c r="G1856">
        <v>-0.063442537701507</v>
      </c>
      <c r="H1856">
        <v>0.7579306979014151</v>
      </c>
      <c r="I1856">
        <v>0.424278370897588</v>
      </c>
    </row>
    <row r="1857" spans="1:9">
      <c r="A1857" s="1" t="s">
        <v>1869</v>
      </c>
      <c r="B1857">
        <f>HYPERLINK("https://www.suredividend.com/sure-analysis-research-database/","Whiting Petroleum Corp")</f>
        <v>0</v>
      </c>
      <c r="C1857">
        <v>-0.230951842640741</v>
      </c>
      <c r="D1857">
        <v>-0.162533499275541</v>
      </c>
      <c r="E1857">
        <v>0.059330611431365</v>
      </c>
      <c r="F1857">
        <v>0.059330611431365</v>
      </c>
      <c r="G1857">
        <v>0.25604899384992</v>
      </c>
      <c r="H1857">
        <v>2.513710339698264</v>
      </c>
      <c r="I1857">
        <v>2.513710339698264</v>
      </c>
    </row>
    <row r="1858" spans="1:9">
      <c r="A1858" s="1" t="s">
        <v>1870</v>
      </c>
      <c r="B1858">
        <f>HYPERLINK("https://www.suredividend.com/sure-analysis-research-database/","Chord Energy Corp")</f>
        <v>0</v>
      </c>
      <c r="C1858">
        <v>0.7336956521739121</v>
      </c>
      <c r="D1858">
        <v>-0.182051282051282</v>
      </c>
      <c r="E1858">
        <v>-0.425225225225225</v>
      </c>
      <c r="F1858">
        <v>0.8228571428571421</v>
      </c>
      <c r="G1858">
        <v>-0.425225225225225</v>
      </c>
      <c r="H1858">
        <v>-0.425225225225225</v>
      </c>
      <c r="I1858">
        <v>-0.425225225225225</v>
      </c>
    </row>
    <row r="1859" spans="1:9">
      <c r="A1859" s="1" t="s">
        <v>1871</v>
      </c>
      <c r="B1859">
        <f>HYPERLINK("https://www.suredividend.com/sure-analysis-research-database/","Chord Energy Corp")</f>
        <v>0</v>
      </c>
      <c r="C1859">
        <v>0.5300546448087431</v>
      </c>
      <c r="D1859">
        <v>-0.213483146067415</v>
      </c>
      <c r="E1859">
        <v>-0.492753623188405</v>
      </c>
      <c r="F1859">
        <v>0.473684210526315</v>
      </c>
      <c r="G1859">
        <v>-0.492753623188405</v>
      </c>
      <c r="H1859">
        <v>-0.492753623188405</v>
      </c>
      <c r="I1859">
        <v>-0.492753623188405</v>
      </c>
    </row>
    <row r="1860" spans="1:9">
      <c r="A1860" s="1" t="s">
        <v>1872</v>
      </c>
      <c r="B1860">
        <f>HYPERLINK("https://www.suredividend.com/sure-analysis-WLY/","John Wiley &amp; Sons Inc.")</f>
        <v>0</v>
      </c>
      <c r="C1860">
        <v>-0.179005168244255</v>
      </c>
      <c r="D1860">
        <v>-0.203094926971825</v>
      </c>
      <c r="E1860">
        <v>-0.285581008842714</v>
      </c>
      <c r="F1860">
        <v>-0.351492928234677</v>
      </c>
      <c r="G1860">
        <v>-0.288411686602252</v>
      </c>
      <c r="H1860">
        <v>0.183454578477951</v>
      </c>
      <c r="I1860">
        <v>-0.214400541500973</v>
      </c>
    </row>
    <row r="1861" spans="1:9">
      <c r="A1861" s="1" t="s">
        <v>1873</v>
      </c>
      <c r="B1861">
        <f>HYPERLINK("https://www.suredividend.com/sure-analysis-research-database/","Weis Markets, Inc.")</f>
        <v>0</v>
      </c>
      <c r="C1861">
        <v>-0.041007104574348</v>
      </c>
      <c r="D1861">
        <v>0.029491850636708</v>
      </c>
      <c r="E1861">
        <v>-0.006316746546195001</v>
      </c>
      <c r="F1861">
        <v>0.183641320066212</v>
      </c>
      <c r="G1861">
        <v>0.399196562202779</v>
      </c>
      <c r="H1861">
        <v>0.5803960233341551</v>
      </c>
      <c r="I1861">
        <v>1.01546042032854</v>
      </c>
    </row>
    <row r="1862" spans="1:9">
      <c r="A1862" s="1" t="s">
        <v>1874</v>
      </c>
      <c r="B1862">
        <f>HYPERLINK("https://www.suredividend.com/sure-analysis-research-database/","Wabash National Corp.")</f>
        <v>0</v>
      </c>
      <c r="C1862">
        <v>0.035867393455025</v>
      </c>
      <c r="D1862">
        <v>0.153106982703395</v>
      </c>
      <c r="E1862">
        <v>0.295361925092179</v>
      </c>
      <c r="F1862">
        <v>-0.162322281076954</v>
      </c>
      <c r="G1862">
        <v>0.018785851468399</v>
      </c>
      <c r="H1862">
        <v>0.211864470887263</v>
      </c>
      <c r="I1862">
        <v>-0.199396298832078</v>
      </c>
    </row>
    <row r="1863" spans="1:9">
      <c r="A1863" s="1" t="s">
        <v>1875</v>
      </c>
      <c r="B1863">
        <f>HYPERLINK("https://www.suredividend.com/sure-analysis-WOR/","Worthington Industries, Inc.")</f>
        <v>0</v>
      </c>
      <c r="C1863">
        <v>-0.165083114729062</v>
      </c>
      <c r="D1863">
        <v>-0.000710307792331</v>
      </c>
      <c r="E1863">
        <v>-0.119726562898074</v>
      </c>
      <c r="F1863">
        <v>-0.195920586220249</v>
      </c>
      <c r="G1863">
        <v>-0.156512857368843</v>
      </c>
      <c r="H1863">
        <v>-0.05955362003266101</v>
      </c>
      <c r="I1863">
        <v>0.121422043122429</v>
      </c>
    </row>
    <row r="1864" spans="1:9">
      <c r="A1864" s="1" t="s">
        <v>1876</v>
      </c>
      <c r="B1864">
        <f>HYPERLINK("https://www.suredividend.com/sure-analysis-research-database/","WideOpenWest Inc")</f>
        <v>0</v>
      </c>
      <c r="C1864">
        <v>-0.310344827586206</v>
      </c>
      <c r="D1864">
        <v>-0.302832244008714</v>
      </c>
      <c r="E1864">
        <v>-0.383726528647087</v>
      </c>
      <c r="F1864">
        <v>-0.4052044609665421</v>
      </c>
      <c r="G1864">
        <v>-0.343589743589743</v>
      </c>
      <c r="H1864">
        <v>1.428842504743833</v>
      </c>
      <c r="I1864">
        <v>-0.155672823218997</v>
      </c>
    </row>
    <row r="1865" spans="1:9">
      <c r="A1865" s="1" t="s">
        <v>1877</v>
      </c>
      <c r="B1865">
        <f>HYPERLINK("https://www.suredividend.com/sure-analysis-research-database/","Washington Real Estate Investment Trust")</f>
        <v>0</v>
      </c>
      <c r="C1865">
        <v>-0.174391298974168</v>
      </c>
      <c r="D1865">
        <v>-0.175605830984385</v>
      </c>
      <c r="E1865">
        <v>-0.31507130230784</v>
      </c>
      <c r="F1865">
        <v>-0.343984098488806</v>
      </c>
      <c r="G1865">
        <v>-0.328627022159328</v>
      </c>
      <c r="H1865">
        <v>-0.161069611128135</v>
      </c>
      <c r="I1865">
        <v>-0.385041408439294</v>
      </c>
    </row>
    <row r="1866" spans="1:9">
      <c r="A1866" s="1" t="s">
        <v>1878</v>
      </c>
      <c r="B1866">
        <f>HYPERLINK("https://www.suredividend.com/sure-analysis-research-database/","World Acceptance Corp.")</f>
        <v>0</v>
      </c>
      <c r="C1866">
        <v>-0.192771084337349</v>
      </c>
      <c r="D1866">
        <v>-0.07642535633908401</v>
      </c>
      <c r="E1866">
        <v>-0.47620060628623</v>
      </c>
      <c r="F1866">
        <v>-0.598704314875932</v>
      </c>
      <c r="G1866">
        <v>-0.5070570570570571</v>
      </c>
      <c r="H1866">
        <v>-0.06315989727004601</v>
      </c>
      <c r="I1866">
        <v>0.163771712158808</v>
      </c>
    </row>
    <row r="1867" spans="1:9">
      <c r="A1867" s="1" t="s">
        <v>1879</v>
      </c>
      <c r="B1867">
        <f>HYPERLINK("https://www.suredividend.com/sure-analysis-WSBC/","Wesbanco, Inc.")</f>
        <v>0</v>
      </c>
      <c r="C1867">
        <v>0.031025567365699</v>
      </c>
      <c r="D1867">
        <v>0.148884407311373</v>
      </c>
      <c r="E1867">
        <v>0.085670898635424</v>
      </c>
      <c r="F1867">
        <v>0.056893810000589</v>
      </c>
      <c r="G1867">
        <v>0.020324036036855</v>
      </c>
      <c r="H1867">
        <v>0.6292530131420651</v>
      </c>
      <c r="I1867">
        <v>0.017818199349435</v>
      </c>
    </row>
    <row r="1868" spans="1:9">
      <c r="A1868" s="1" t="s">
        <v>1880</v>
      </c>
      <c r="B1868">
        <f>HYPERLINK("https://www.suredividend.com/sure-analysis-research-database/","Waterstone Financial Inc")</f>
        <v>0</v>
      </c>
      <c r="C1868">
        <v>-0.019380467295833</v>
      </c>
      <c r="D1868">
        <v>-0.019380467295833</v>
      </c>
      <c r="E1868">
        <v>-0.08421450151057401</v>
      </c>
      <c r="F1868">
        <v>-0.21213945466099</v>
      </c>
      <c r="G1868">
        <v>-0.157818397250269</v>
      </c>
      <c r="H1868">
        <v>0.129738358351088</v>
      </c>
      <c r="I1868">
        <v>0.144606328999701</v>
      </c>
    </row>
    <row r="1869" spans="1:9">
      <c r="A1869" s="1" t="s">
        <v>1881</v>
      </c>
      <c r="B1869">
        <f>HYPERLINK("https://www.suredividend.com/sure-analysis-research-database/","WillScot Mobile Mini Holdings Corp")</f>
        <v>0</v>
      </c>
      <c r="C1869">
        <v>-0.017622180451127</v>
      </c>
      <c r="D1869">
        <v>0.288840937114673</v>
      </c>
      <c r="E1869">
        <v>0.162034463590883</v>
      </c>
      <c r="F1869">
        <v>0.023751224289911</v>
      </c>
      <c r="G1869">
        <v>0.327301587301587</v>
      </c>
      <c r="H1869">
        <v>1.359480812641083</v>
      </c>
      <c r="I1869">
        <v>2.981904761904762</v>
      </c>
    </row>
    <row r="1870" spans="1:9">
      <c r="A1870" s="1" t="s">
        <v>1882</v>
      </c>
      <c r="B1870">
        <f>HYPERLINK("https://www.suredividend.com/sure-analysis-research-database/","WSFS Financial Corp.")</f>
        <v>0</v>
      </c>
      <c r="C1870">
        <v>-0.07841161056238601</v>
      </c>
      <c r="D1870">
        <v>0.131075635116781</v>
      </c>
      <c r="E1870">
        <v>0.105455952222638</v>
      </c>
      <c r="F1870">
        <v>-0.07971570219986601</v>
      </c>
      <c r="G1870">
        <v>-0.153178082648485</v>
      </c>
      <c r="H1870">
        <v>0.5261060263163161</v>
      </c>
      <c r="I1870">
        <v>-0.02977520579079</v>
      </c>
    </row>
    <row r="1871" spans="1:9">
      <c r="A1871" s="1" t="s">
        <v>1883</v>
      </c>
      <c r="B1871">
        <f>HYPERLINK("https://www.suredividend.com/sure-analysis-WSR/","Whitestone REIT")</f>
        <v>0</v>
      </c>
      <c r="C1871">
        <v>-0.186299742625222</v>
      </c>
      <c r="D1871">
        <v>-0.197492897519257</v>
      </c>
      <c r="E1871">
        <v>-0.355703435464528</v>
      </c>
      <c r="F1871">
        <v>-0.159010456098708</v>
      </c>
      <c r="G1871">
        <v>-0.127462635869565</v>
      </c>
      <c r="H1871">
        <v>0.447412442112306</v>
      </c>
      <c r="I1871">
        <v>-0.132472137791286</v>
      </c>
    </row>
    <row r="1872" spans="1:9">
      <c r="A1872" s="1" t="s">
        <v>1884</v>
      </c>
      <c r="B1872">
        <f>HYPERLINK("https://www.suredividend.com/sure-analysis-research-database/","West Bancorporation")</f>
        <v>0</v>
      </c>
      <c r="C1872">
        <v>-0.152501016673444</v>
      </c>
      <c r="D1872">
        <v>-0.110868396576587</v>
      </c>
      <c r="E1872">
        <v>-0.177717890948978</v>
      </c>
      <c r="F1872">
        <v>-0.309819506540818</v>
      </c>
      <c r="G1872">
        <v>-0.308218064006426</v>
      </c>
      <c r="H1872">
        <v>0.307468379843405</v>
      </c>
      <c r="I1872">
        <v>0.014264925609215</v>
      </c>
    </row>
    <row r="1873" spans="1:9">
      <c r="A1873" s="1" t="s">
        <v>1885</v>
      </c>
      <c r="B1873">
        <f>HYPERLINK("https://www.suredividend.com/sure-analysis-research-database/","W &amp; T Offshore Inc")</f>
        <v>0</v>
      </c>
      <c r="C1873">
        <v>0.09574468085106301</v>
      </c>
      <c r="D1873">
        <v>0.793532338308457</v>
      </c>
      <c r="E1873">
        <v>0.6845794392523361</v>
      </c>
      <c r="F1873">
        <v>1.23219814241486</v>
      </c>
      <c r="G1873">
        <v>0.653669724770642</v>
      </c>
      <c r="H1873">
        <v>2.983425414364641</v>
      </c>
      <c r="I1873">
        <v>1.333333333333333</v>
      </c>
    </row>
    <row r="1874" spans="1:9">
      <c r="A1874" s="1" t="s">
        <v>1886</v>
      </c>
      <c r="B1874">
        <f>HYPERLINK("https://www.suredividend.com/sure-analysis-research-database/","Watts Water Technologies, Inc.")</f>
        <v>0</v>
      </c>
      <c r="C1874">
        <v>-0.088768898488121</v>
      </c>
      <c r="D1874">
        <v>0.006494461775555</v>
      </c>
      <c r="E1874">
        <v>-0.066197638233293</v>
      </c>
      <c r="F1874">
        <v>-0.34561686868081</v>
      </c>
      <c r="G1874">
        <v>-0.284609697701391</v>
      </c>
      <c r="H1874">
        <v>0.192865988475653</v>
      </c>
      <c r="I1874">
        <v>0.9354601936224771</v>
      </c>
    </row>
    <row r="1875" spans="1:9">
      <c r="A1875" s="1" t="s">
        <v>1887</v>
      </c>
      <c r="B1875">
        <f>HYPERLINK("https://www.suredividend.com/sure-analysis-research-database/","Select Energy Services Inc")</f>
        <v>0</v>
      </c>
      <c r="C1875">
        <v>0.04933333333333301</v>
      </c>
      <c r="D1875">
        <v>0.155653450807635</v>
      </c>
      <c r="E1875">
        <v>-0.092272202998846</v>
      </c>
      <c r="F1875">
        <v>0.263242375601926</v>
      </c>
      <c r="G1875">
        <v>0.320469798657718</v>
      </c>
      <c r="H1875">
        <v>1.082010582010582</v>
      </c>
      <c r="I1875">
        <v>-0.484610347085789</v>
      </c>
    </row>
    <row r="1876" spans="1:9">
      <c r="A1876" s="1" t="s">
        <v>1888</v>
      </c>
      <c r="B1876">
        <f>HYPERLINK("https://www.suredividend.com/sure-analysis-research-database/","Wave Life Sciences Ltd.")</f>
        <v>0</v>
      </c>
      <c r="C1876">
        <v>0.3715170278637761</v>
      </c>
      <c r="D1876">
        <v>0.05980861244019101</v>
      </c>
      <c r="E1876">
        <v>0.8613445378151261</v>
      </c>
      <c r="F1876">
        <v>0.410828025477706</v>
      </c>
      <c r="G1876">
        <v>-0.015555555555555</v>
      </c>
      <c r="H1876">
        <v>-0.475118483412322</v>
      </c>
      <c r="I1876">
        <v>-0.807809110629067</v>
      </c>
    </row>
    <row r="1877" spans="1:9">
      <c r="A1877" s="1" t="s">
        <v>1889</v>
      </c>
      <c r="B1877">
        <f>HYPERLINK("https://www.suredividend.com/sure-analysis-research-database/","WW International Inc")</f>
        <v>0</v>
      </c>
      <c r="C1877">
        <v>-0.380208333333333</v>
      </c>
      <c r="D1877">
        <v>-0.489270386266094</v>
      </c>
      <c r="E1877">
        <v>-0.6454816285998011</v>
      </c>
      <c r="F1877">
        <v>-0.7786732796032231</v>
      </c>
      <c r="G1877">
        <v>-0.799550814149354</v>
      </c>
      <c r="H1877">
        <v>-0.851990049751243</v>
      </c>
      <c r="I1877">
        <v>-0.9234234234234231</v>
      </c>
    </row>
    <row r="1878" spans="1:9">
      <c r="A1878" s="1" t="s">
        <v>1890</v>
      </c>
      <c r="B1878">
        <f>HYPERLINK("https://www.suredividend.com/sure-analysis-research-database/","Wolverine World Wide, Inc.")</f>
        <v>0</v>
      </c>
      <c r="C1878">
        <v>-0.230843530290937</v>
      </c>
      <c r="D1878">
        <v>-0.264659425044348</v>
      </c>
      <c r="E1878">
        <v>-0.274371849656369</v>
      </c>
      <c r="F1878">
        <v>-0.466742795917216</v>
      </c>
      <c r="G1878">
        <v>-0.482697903097316</v>
      </c>
      <c r="H1878">
        <v>-0.427299602175731</v>
      </c>
      <c r="I1878">
        <v>-0.435451974238998</v>
      </c>
    </row>
    <row r="1879" spans="1:9">
      <c r="A1879" s="1" t="s">
        <v>1891</v>
      </c>
      <c r="B1879">
        <f>HYPERLINK("https://www.suredividend.com/sure-analysis-research-database/","XBiotech Inc")</f>
        <v>0</v>
      </c>
      <c r="C1879">
        <v>-0.08232445520581101</v>
      </c>
      <c r="D1879">
        <v>-0.349914236706689</v>
      </c>
      <c r="E1879">
        <v>-0.565864833906071</v>
      </c>
      <c r="F1879">
        <v>-0.6594788858939801</v>
      </c>
      <c r="G1879">
        <v>-0.707335907335907</v>
      </c>
      <c r="H1879">
        <v>-0.7771767887588921</v>
      </c>
      <c r="I1879">
        <v>-0.013791308873276</v>
      </c>
    </row>
    <row r="1880" spans="1:9">
      <c r="A1880" s="1" t="s">
        <v>1892</v>
      </c>
      <c r="B1880">
        <f>HYPERLINK("https://www.suredividend.com/sure-analysis-research-database/","Intersect ENT Inc")</f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>
      <c r="A1881" s="1" t="s">
        <v>1893</v>
      </c>
      <c r="B1881">
        <f>HYPERLINK("https://www.suredividend.com/sure-analysis-research-database/","Exagen Inc")</f>
        <v>0</v>
      </c>
      <c r="C1881">
        <v>-0.4031890660592251</v>
      </c>
      <c r="D1881">
        <v>-0.615835777126099</v>
      </c>
      <c r="E1881">
        <v>-0.610698365527488</v>
      </c>
      <c r="F1881">
        <v>-0.7747205503009451</v>
      </c>
      <c r="G1881">
        <v>-0.7932123125493291</v>
      </c>
      <c r="H1881">
        <v>-0.817421602787456</v>
      </c>
      <c r="I1881">
        <v>-0.8589881593110871</v>
      </c>
    </row>
    <row r="1882" spans="1:9">
      <c r="A1882" s="1" t="s">
        <v>1894</v>
      </c>
      <c r="B1882">
        <f>HYPERLINK("https://www.suredividend.com/sure-analysis-research-database/","Xenia Hotels &amp; Resorts Inc")</f>
        <v>0</v>
      </c>
      <c r="C1882">
        <v>-0.141075992011703</v>
      </c>
      <c r="D1882">
        <v>-0.022661813359487</v>
      </c>
      <c r="E1882">
        <v>-0.184339314845024</v>
      </c>
      <c r="F1882">
        <v>-0.213163250553288</v>
      </c>
      <c r="G1882">
        <v>-0.194484925767374</v>
      </c>
      <c r="H1882">
        <v>0.490540597480301</v>
      </c>
      <c r="I1882">
        <v>-0.247416484504225</v>
      </c>
    </row>
    <row r="1883" spans="1:9">
      <c r="A1883" s="1" t="s">
        <v>1895</v>
      </c>
      <c r="B1883">
        <f>HYPERLINK("https://www.suredividend.com/sure-analysis-research-database/","XL Fleet Corporation")</f>
        <v>0</v>
      </c>
      <c r="C1883">
        <v>-0.282051282051282</v>
      </c>
      <c r="D1883">
        <v>-0.32258064516129</v>
      </c>
      <c r="E1883">
        <v>-0.535911602209944</v>
      </c>
      <c r="F1883">
        <v>-0.746223564954682</v>
      </c>
      <c r="G1883">
        <v>-0.8438661710037171</v>
      </c>
      <c r="H1883">
        <v>-0.9228650137741041</v>
      </c>
      <c r="I1883">
        <v>-0.9141981613891721</v>
      </c>
    </row>
    <row r="1884" spans="1:9">
      <c r="A1884" s="1" t="s">
        <v>1896</v>
      </c>
      <c r="B1884">
        <f>HYPERLINK("https://www.suredividend.com/sure-analysis-research-database/","Xilio Therapeutics Inc")</f>
        <v>0</v>
      </c>
      <c r="C1884">
        <v>-0.07636363636363601</v>
      </c>
      <c r="D1884">
        <v>-0.261627906976744</v>
      </c>
      <c r="E1884">
        <v>-0.638691322901849</v>
      </c>
      <c r="F1884">
        <v>-0.8412500000000001</v>
      </c>
      <c r="G1884">
        <v>-0.8412500000000001</v>
      </c>
      <c r="H1884">
        <v>-0.8412500000000001</v>
      </c>
      <c r="I1884">
        <v>-0.8412500000000001</v>
      </c>
    </row>
    <row r="1885" spans="1:9">
      <c r="A1885" s="1" t="s">
        <v>1897</v>
      </c>
      <c r="B1885">
        <f>HYPERLINK("https://www.suredividend.com/sure-analysis-research-database/","Xometry Inc")</f>
        <v>0</v>
      </c>
      <c r="C1885">
        <v>-0.037697052775873</v>
      </c>
      <c r="D1885">
        <v>0.529411764705882</v>
      </c>
      <c r="E1885">
        <v>0.5766423357664231</v>
      </c>
      <c r="F1885">
        <v>0.09580487804878</v>
      </c>
      <c r="G1885">
        <v>-0.007247657769135001</v>
      </c>
      <c r="H1885">
        <v>-0.357363542739444</v>
      </c>
      <c r="I1885">
        <v>-0.357363542739444</v>
      </c>
    </row>
    <row r="1886" spans="1:9">
      <c r="A1886" s="1" t="s">
        <v>1898</v>
      </c>
      <c r="B1886">
        <f>HYPERLINK("https://www.suredividend.com/sure-analysis-research-database/","Xencor Inc")</f>
        <v>0</v>
      </c>
      <c r="C1886">
        <v>-0.001544401544401</v>
      </c>
      <c r="D1886">
        <v>-0.192883895131086</v>
      </c>
      <c r="E1886">
        <v>-0.05309410472354401</v>
      </c>
      <c r="F1886">
        <v>-0.35543369890329</v>
      </c>
      <c r="G1886">
        <v>-0.3048387096774191</v>
      </c>
      <c r="H1886">
        <v>-0.383551847437425</v>
      </c>
      <c r="I1886">
        <v>0.077499999999999</v>
      </c>
    </row>
    <row r="1887" spans="1:9">
      <c r="A1887" s="1" t="s">
        <v>1899</v>
      </c>
      <c r="B1887">
        <f>HYPERLINK("https://www.suredividend.com/sure-analysis-research-database/","XOMA Corp")</f>
        <v>0</v>
      </c>
      <c r="C1887">
        <v>-0.058823529411764</v>
      </c>
      <c r="D1887">
        <v>-0.417334304442825</v>
      </c>
      <c r="E1887">
        <v>-0.421128798842257</v>
      </c>
      <c r="F1887">
        <v>-0.232613908872901</v>
      </c>
      <c r="G1887">
        <v>-0.379363847944142</v>
      </c>
      <c r="H1887">
        <v>-0.190692969145169</v>
      </c>
      <c r="I1887">
        <v>-0.285075960679177</v>
      </c>
    </row>
    <row r="1888" spans="1:9">
      <c r="A1888" s="1" t="s">
        <v>1900</v>
      </c>
      <c r="B1888">
        <f>HYPERLINK("https://www.suredividend.com/sure-analysis-research-database/","XPEL Inc")</f>
        <v>0</v>
      </c>
      <c r="C1888">
        <v>-0.09849985847721401</v>
      </c>
      <c r="D1888">
        <v>0.215416905170769</v>
      </c>
      <c r="E1888">
        <v>0.385384949978251</v>
      </c>
      <c r="F1888">
        <v>-0.067076742823667</v>
      </c>
      <c r="G1888">
        <v>-0.158853822791496</v>
      </c>
      <c r="H1888">
        <v>1.274187790074973</v>
      </c>
      <c r="I1888">
        <v>36.98449612403101</v>
      </c>
    </row>
    <row r="1889" spans="1:9">
      <c r="A1889" s="1" t="s">
        <v>1901</v>
      </c>
      <c r="B1889">
        <f>HYPERLINK("https://www.suredividend.com/sure-analysis-research-database/","Xperi Inc")</f>
        <v>0</v>
      </c>
      <c r="C1889">
        <v>-0.4026086956521731</v>
      </c>
      <c r="D1889">
        <v>-0.4026086956521731</v>
      </c>
      <c r="E1889">
        <v>-0.4026086956521731</v>
      </c>
      <c r="F1889">
        <v>-0.4026086956521731</v>
      </c>
      <c r="G1889">
        <v>-0.4026086956521731</v>
      </c>
      <c r="H1889">
        <v>-0.4026086956521731</v>
      </c>
      <c r="I1889">
        <v>-0.4026086956521731</v>
      </c>
    </row>
    <row r="1890" spans="1:9">
      <c r="A1890" s="1" t="s">
        <v>1902</v>
      </c>
      <c r="B1890">
        <f>HYPERLINK("https://www.suredividend.com/sure-analysis-research-database/","Xponential Fitness Inc")</f>
        <v>0</v>
      </c>
      <c r="C1890">
        <v>-0.029160382101558</v>
      </c>
      <c r="D1890">
        <v>0.408460977388767</v>
      </c>
      <c r="E1890">
        <v>-0.140631953716065</v>
      </c>
      <c r="F1890">
        <v>-0.055283757338551</v>
      </c>
      <c r="G1890">
        <v>0.386216798277099</v>
      </c>
      <c r="H1890">
        <v>0.576326530612244</v>
      </c>
      <c r="I1890">
        <v>0.576326530612244</v>
      </c>
    </row>
    <row r="1891" spans="1:9">
      <c r="A1891" s="1" t="s">
        <v>1903</v>
      </c>
      <c r="B1891">
        <f>HYPERLINK("https://www.suredividend.com/sure-analysis-research-database/","Expro Group Holdings N.V.")</f>
        <v>0</v>
      </c>
      <c r="C1891">
        <v>0.08403954802259801</v>
      </c>
      <c r="D1891">
        <v>0.481660231660231</v>
      </c>
      <c r="E1891">
        <v>-0.141978759083286</v>
      </c>
      <c r="F1891">
        <v>0.069686411149825</v>
      </c>
      <c r="G1891">
        <v>-0.180896478121664</v>
      </c>
      <c r="H1891">
        <v>0.4788053949903651</v>
      </c>
      <c r="I1891">
        <v>-0.648580586080586</v>
      </c>
    </row>
    <row r="1892" spans="1:9">
      <c r="A1892" s="1" t="s">
        <v>1904</v>
      </c>
      <c r="B1892">
        <f>HYPERLINK("https://www.suredividend.com/sure-analysis-research-database/","22nd Century Group Inc")</f>
        <v>0</v>
      </c>
      <c r="C1892">
        <v>-0.350141843971631</v>
      </c>
      <c r="D1892">
        <v>-0.575787037037037</v>
      </c>
      <c r="E1892">
        <v>-0.5777419354838701</v>
      </c>
      <c r="F1892">
        <v>-0.703462783171521</v>
      </c>
      <c r="G1892">
        <v>-0.686198630136986</v>
      </c>
      <c r="H1892">
        <v>0.194498761569547</v>
      </c>
      <c r="I1892">
        <v>-0.6985855263157891</v>
      </c>
    </row>
    <row r="1893" spans="1:9">
      <c r="A1893" s="1" t="s">
        <v>1905</v>
      </c>
      <c r="B1893">
        <f>HYPERLINK("https://www.suredividend.com/sure-analysis-research-database/","Yellow Corporation")</f>
        <v>0</v>
      </c>
      <c r="C1893">
        <v>-0.274959083469721</v>
      </c>
      <c r="D1893">
        <v>0.326347305389221</v>
      </c>
      <c r="E1893">
        <v>-0.084710743801652</v>
      </c>
      <c r="F1893">
        <v>-0.64813343923749</v>
      </c>
      <c r="G1893">
        <v>-0.376056338028169</v>
      </c>
      <c r="H1893">
        <v>-0.112224448897795</v>
      </c>
      <c r="I1893">
        <v>-0.66791604197901</v>
      </c>
    </row>
    <row r="1894" spans="1:9">
      <c r="A1894" s="1" t="s">
        <v>1906</v>
      </c>
      <c r="B1894">
        <f>HYPERLINK("https://www.suredividend.com/sure-analysis-research-database/","Yelp Inc")</f>
        <v>0</v>
      </c>
      <c r="C1894">
        <v>0</v>
      </c>
      <c r="D1894">
        <v>0.263720598717035</v>
      </c>
      <c r="E1894">
        <v>0.04880212954747101</v>
      </c>
      <c r="F1894">
        <v>-0.021523178807947</v>
      </c>
      <c r="G1894">
        <v>-0.08702368692070001</v>
      </c>
      <c r="H1894">
        <v>0.711389961389961</v>
      </c>
      <c r="I1894">
        <v>-0.201351351351351</v>
      </c>
    </row>
    <row r="1895" spans="1:9">
      <c r="A1895" s="1" t="s">
        <v>1907</v>
      </c>
      <c r="B1895">
        <f>HYPERLINK("https://www.suredividend.com/sure-analysis-research-database/","Yext Inc")</f>
        <v>0</v>
      </c>
      <c r="C1895">
        <v>-0.061965811965811</v>
      </c>
      <c r="D1895">
        <v>-0.135826771653543</v>
      </c>
      <c r="E1895">
        <v>-0.2976</v>
      </c>
      <c r="F1895">
        <v>-0.5574596774193541</v>
      </c>
      <c r="G1895">
        <v>-0.614235500878734</v>
      </c>
      <c r="H1895">
        <v>-0.7286773794808401</v>
      </c>
      <c r="I1895">
        <v>-0.6362883181441591</v>
      </c>
    </row>
    <row r="1896" spans="1:9">
      <c r="A1896" s="1" t="s">
        <v>1908</v>
      </c>
      <c r="B1896">
        <f>HYPERLINK("https://www.suredividend.com/sure-analysis-research-database/","Y-Mabs Therapeutics Inc")</f>
        <v>0</v>
      </c>
      <c r="C1896">
        <v>-0.141104294478527</v>
      </c>
      <c r="D1896">
        <v>-0.275362318840579</v>
      </c>
      <c r="E1896">
        <v>0.07279693486590001</v>
      </c>
      <c r="F1896">
        <v>-0.136335595311536</v>
      </c>
      <c r="G1896">
        <v>-0.49312092686459</v>
      </c>
      <c r="H1896">
        <v>-0.64322120285423</v>
      </c>
      <c r="I1896">
        <v>-0.416666666666666</v>
      </c>
    </row>
    <row r="1897" spans="1:9">
      <c r="A1897" s="1" t="s">
        <v>1909</v>
      </c>
      <c r="B1897">
        <f>HYPERLINK("https://www.suredividend.com/sure-analysis-YORW/","York Water Co.")</f>
        <v>0</v>
      </c>
      <c r="C1897">
        <v>-0.128231467214518</v>
      </c>
      <c r="D1897">
        <v>-0.07395507748563801</v>
      </c>
      <c r="E1897">
        <v>-0.109379154015139</v>
      </c>
      <c r="F1897">
        <v>-0.221785918787787</v>
      </c>
      <c r="G1897">
        <v>-0.152111506550654</v>
      </c>
      <c r="H1897">
        <v>-0.092621940064103</v>
      </c>
      <c r="I1897">
        <v>0.171835445951046</v>
      </c>
    </row>
    <row r="1898" spans="1:9">
      <c r="A1898" s="1" t="s">
        <v>1910</v>
      </c>
      <c r="B1898">
        <f>HYPERLINK("https://www.suredividend.com/sure-analysis-research-database/","Ziff Davis Inc")</f>
        <v>0</v>
      </c>
      <c r="C1898">
        <v>-0.08221626452189401</v>
      </c>
      <c r="D1898">
        <v>-0.084203821656051</v>
      </c>
      <c r="E1898">
        <v>-0.242625368731563</v>
      </c>
      <c r="F1898">
        <v>-0.351524445246256</v>
      </c>
      <c r="G1898">
        <v>-0.3699386503067481</v>
      </c>
      <c r="H1898">
        <v>0.148490619089003</v>
      </c>
      <c r="I1898">
        <v>0.107038913441845</v>
      </c>
    </row>
    <row r="1899" spans="1:9">
      <c r="A1899" s="1" t="s">
        <v>1911</v>
      </c>
      <c r="B1899">
        <f>HYPERLINK("https://www.suredividend.com/sure-analysis-research-database/","Olympic Steel Inc.")</f>
        <v>0</v>
      </c>
      <c r="C1899">
        <v>-0.126791620727673</v>
      </c>
      <c r="D1899">
        <v>-0.020194064256464</v>
      </c>
      <c r="E1899">
        <v>-0.319283528724172</v>
      </c>
      <c r="F1899">
        <v>0.017698356948275</v>
      </c>
      <c r="G1899">
        <v>-0.035909920876445</v>
      </c>
      <c r="H1899">
        <v>0.956489517629815</v>
      </c>
      <c r="I1899">
        <v>0.183485004707042</v>
      </c>
    </row>
    <row r="1900" spans="1:9">
      <c r="A1900" s="1" t="s">
        <v>1912</v>
      </c>
      <c r="B1900">
        <f>HYPERLINK("https://www.suredividend.com/sure-analysis-research-database/","Zogenix Inc")</f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>
      <c r="A1901" s="1" t="s">
        <v>1913</v>
      </c>
      <c r="B1901">
        <f>HYPERLINK("https://www.suredividend.com/sure-analysis-research-database/","Zentalis Pharmaceuticals Inc")</f>
        <v>0</v>
      </c>
      <c r="C1901">
        <v>-0.27682475613858</v>
      </c>
      <c r="D1901">
        <v>-0.277067921990585</v>
      </c>
      <c r="E1901">
        <v>-0.3670886075949361</v>
      </c>
      <c r="F1901">
        <v>-0.7442303116821311</v>
      </c>
      <c r="G1901">
        <v>-0.7188439911076231</v>
      </c>
      <c r="H1901">
        <v>-0.467294350842418</v>
      </c>
      <c r="I1901">
        <v>-0.07327586206896501</v>
      </c>
    </row>
    <row r="1902" spans="1:9">
      <c r="A1902" s="1" t="s">
        <v>1914</v>
      </c>
      <c r="B1902">
        <f>HYPERLINK("https://www.suredividend.com/sure-analysis-research-database/","Zumiez Inc")</f>
        <v>0</v>
      </c>
      <c r="C1902">
        <v>-0.228592162554426</v>
      </c>
      <c r="D1902">
        <v>-0.172118380062305</v>
      </c>
      <c r="E1902">
        <v>-0.443601151531012</v>
      </c>
      <c r="F1902">
        <v>-0.556991039799958</v>
      </c>
      <c r="G1902">
        <v>-0.4789215686274501</v>
      </c>
      <c r="H1902">
        <v>-0.320549696388622</v>
      </c>
      <c r="I1902">
        <v>0.133866666666666</v>
      </c>
    </row>
    <row r="1903" spans="1:9">
      <c r="A1903" s="1" t="s">
        <v>1915</v>
      </c>
      <c r="B1903">
        <f>HYPERLINK("https://www.suredividend.com/sure-analysis-research-database/","Zuora Inc")</f>
        <v>0</v>
      </c>
      <c r="C1903">
        <v>-0.180072028811524</v>
      </c>
      <c r="D1903">
        <v>-0.31563126252505</v>
      </c>
      <c r="E1903">
        <v>-0.506859205776173</v>
      </c>
      <c r="F1903">
        <v>-0.6343683083511771</v>
      </c>
      <c r="G1903">
        <v>-0.589789789789789</v>
      </c>
      <c r="H1903">
        <v>-0.382459312839059</v>
      </c>
      <c r="I1903">
        <v>-0.6585000000000001</v>
      </c>
    </row>
    <row r="1904" spans="1:9">
      <c r="A1904" s="1" t="s">
        <v>1916</v>
      </c>
      <c r="B1904">
        <f>HYPERLINK("https://www.suredividend.com/sure-analysis-research-database/","Zevia PBC")</f>
        <v>0</v>
      </c>
      <c r="C1904">
        <v>-0.168016194331983</v>
      </c>
      <c r="D1904">
        <v>0.167613636363636</v>
      </c>
      <c r="E1904">
        <v>-0.035211267605633</v>
      </c>
      <c r="F1904">
        <v>-0.417021276595744</v>
      </c>
      <c r="G1904">
        <v>-0.678655199374511</v>
      </c>
      <c r="H1904">
        <v>-0.6989010989010981</v>
      </c>
      <c r="I1904">
        <v>-0.6989010989010981</v>
      </c>
    </row>
    <row r="1905" spans="1:9">
      <c r="A1905" s="1" t="s">
        <v>1917</v>
      </c>
      <c r="B1905">
        <f>HYPERLINK("https://www.suredividend.com/sure-analysis-research-database/","Zurn Elkay Water Solutions Corp")</f>
        <v>0</v>
      </c>
      <c r="C1905">
        <v>-0.136952714535901</v>
      </c>
      <c r="D1905">
        <v>-0.168811542185175</v>
      </c>
      <c r="E1905">
        <v>-0.303584954721716</v>
      </c>
      <c r="F1905">
        <v>-0.3202158535374151</v>
      </c>
      <c r="G1905">
        <v>-0.320794868472918</v>
      </c>
      <c r="H1905">
        <v>-0.223112405923767</v>
      </c>
      <c r="I1905">
        <v>-0.021709784490288</v>
      </c>
    </row>
    <row r="1906" spans="1:9">
      <c r="A1906" s="1" t="s">
        <v>1918</v>
      </c>
      <c r="B1906">
        <f>HYPERLINK("https://www.suredividend.com/sure-analysis-research-database/","Zymergen Inc")</f>
        <v>0</v>
      </c>
      <c r="C1906">
        <v>-0.026615969581748</v>
      </c>
      <c r="D1906">
        <v>0.505882352941176</v>
      </c>
      <c r="E1906">
        <v>0.06004140786749401</v>
      </c>
      <c r="F1906">
        <v>-0.617339312406576</v>
      </c>
      <c r="G1906">
        <v>-0.7691614066726781</v>
      </c>
      <c r="H1906">
        <v>-0.932005312084993</v>
      </c>
      <c r="I1906">
        <v>-0.932005312084993</v>
      </c>
    </row>
    <row r="1907" spans="1:9">
      <c r="A1907" s="1" t="s">
        <v>1919</v>
      </c>
      <c r="B1907">
        <f>HYPERLINK("https://www.suredividend.com/sure-analysis-research-database/","Zynex Inc")</f>
        <v>0</v>
      </c>
      <c r="C1907">
        <v>-0.07537154989384201</v>
      </c>
      <c r="D1907">
        <v>0.110969387755102</v>
      </c>
      <c r="E1907">
        <v>0.432565789473684</v>
      </c>
      <c r="F1907">
        <v>-0.029342605284566</v>
      </c>
      <c r="G1907">
        <v>-0.13284151210139</v>
      </c>
      <c r="H1907">
        <v>-0.509503026890046</v>
      </c>
      <c r="I1907">
        <v>45.06028556319409</v>
      </c>
    </row>
  </sheetData>
  <autoFilter ref="A1:I1907"/>
  <conditionalFormatting sqref="A1:I1">
    <cfRule type="cellIs" dxfId="8" priority="10" operator="notEqual">
      <formula>-13.345</formula>
    </cfRule>
  </conditionalFormatting>
  <conditionalFormatting sqref="A2:A1907">
    <cfRule type="cellIs" dxfId="0" priority="1" operator="notEqual">
      <formula>"None"</formula>
    </cfRule>
  </conditionalFormatting>
  <conditionalFormatting sqref="B2:B1907">
    <cfRule type="cellIs" dxfId="0" priority="2" operator="notEqual">
      <formula>"None"</formula>
    </cfRule>
  </conditionalFormatting>
  <conditionalFormatting sqref="C2:C1907">
    <cfRule type="cellIs" dxfId="3" priority="3" operator="notEqual">
      <formula>"None"</formula>
    </cfRule>
  </conditionalFormatting>
  <conditionalFormatting sqref="D2:D1907">
    <cfRule type="cellIs" dxfId="3" priority="4" operator="notEqual">
      <formula>"None"</formula>
    </cfRule>
  </conditionalFormatting>
  <conditionalFormatting sqref="E2:E1907">
    <cfRule type="cellIs" dxfId="3" priority="5" operator="notEqual">
      <formula>"None"</formula>
    </cfRule>
  </conditionalFormatting>
  <conditionalFormatting sqref="F2:F1907">
    <cfRule type="cellIs" dxfId="3" priority="6" operator="notEqual">
      <formula>"None"</formula>
    </cfRule>
  </conditionalFormatting>
  <conditionalFormatting sqref="G2:G1907">
    <cfRule type="cellIs" dxfId="3" priority="7" operator="notEqual">
      <formula>"None"</formula>
    </cfRule>
  </conditionalFormatting>
  <conditionalFormatting sqref="H2:H1907">
    <cfRule type="cellIs" dxfId="3" priority="8" operator="notEqual">
      <formula>"None"</formula>
    </cfRule>
  </conditionalFormatting>
  <conditionalFormatting sqref="I2:I1907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1939</v>
      </c>
      <c r="B1" s="1"/>
    </row>
    <row r="2" spans="1:2">
      <c r="A2" s="1" t="s">
        <v>1940</v>
      </c>
    </row>
    <row r="3" spans="1:2">
      <c r="A3" s="1" t="s">
        <v>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2022-10-11T12:35:32Z</dcterms:created>
  <dcterms:modified xsi:type="dcterms:W3CDTF">2022-10-11T12:35:32Z</dcterms:modified>
</cp:coreProperties>
</file>