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2"/>
  <workbookPr/>
  <mc:AlternateContent xmlns:mc="http://schemas.openxmlformats.org/markup-compatibility/2006">
    <mc:Choice Requires="x15">
      <x15ac:absPath xmlns:x15ac="http://schemas.microsoft.com/office/spreadsheetml/2010/11/ac" url="https://lunduniversityo365.sharepoint.com/sites/AFSGcopy/Delade dokument/General/WP 03.0 Magnets/"/>
    </mc:Choice>
  </mc:AlternateContent>
  <xr:revisionPtr revIDLastSave="0" documentId="11_00D2926716B21C8AB9BF7BD243AA042D25A924A2" xr6:coauthVersionLast="47" xr6:coauthVersionMax="47" xr10:uidLastSave="{00000000-0000-0000-0000-000000000000}"/>
  <bookViews>
    <workbookView xWindow="-120" yWindow="-120" windowWidth="2955" windowHeight="11850" firstSheet="5" activeTab="5" xr2:uid="{00000000-000D-0000-FFFF-FFFF00000000}"/>
  </bookViews>
  <sheets>
    <sheet name="Info" sheetId="2" r:id="rId1"/>
    <sheet name="dipm_field" sheetId="21" r:id="rId2"/>
    <sheet name="dipm_gradient" sheetId="17" r:id="rId3"/>
    <sheet name="dip_field" sheetId="22" r:id="rId4"/>
    <sheet name="dip_gradient" sheetId="18" r:id="rId5"/>
    <sheet name="QFend-Qdend" sheetId="9" r:id="rId6"/>
    <sheet name="QF-QFm" sheetId="7" r:id="rId7"/>
    <sheet name="Xq" sheetId="26" r:id="rId8"/>
    <sheet name="ReverseBend" sheetId="20" r:id="rId9"/>
    <sheet name="Sdend" sheetId="11" r:id="rId10"/>
    <sheet name="Sfm" sheetId="12" r:id="rId11"/>
    <sheet name="Sd" sheetId="13" r:id="rId12"/>
    <sheet name="SFI-SFO" sheetId="14" r:id="rId13"/>
    <sheet name="OXX" sheetId="15" r:id="rId14"/>
    <sheet name="OXY" sheetId="25" r:id="rId15"/>
    <sheet name="OYY" sheetId="16" r:id="rId16"/>
    <sheet name="SextTrimsQ" sheetId="19" r:id="rId17"/>
    <sheet name="Sdend_CombQ" sheetId="23" r:id="rId18"/>
    <sheet name="Sd_CombQ" sheetId="24" r:id="rId19"/>
    <sheet name="Sdend_Comb_Coupled" sheetId="28" r:id="rId20"/>
    <sheet name="Sd_Comb_Coupled" sheetId="29" r:id="rId21"/>
    <sheet name="Ver. 0.0 1st Draft" sheetId="5"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9" l="1"/>
  <c r="H12" i="29"/>
  <c r="I12" i="29"/>
  <c r="F12" i="29"/>
  <c r="G14" i="13"/>
  <c r="G11" i="29"/>
  <c r="H11" i="29"/>
  <c r="I11" i="29"/>
  <c r="F11" i="29"/>
  <c r="I10" i="29" l="1"/>
  <c r="H10" i="29"/>
  <c r="G10" i="29"/>
  <c r="F10" i="29"/>
  <c r="H9" i="29"/>
  <c r="F9" i="29"/>
  <c r="I9" i="29"/>
  <c r="G9" i="29"/>
  <c r="G13" i="13"/>
  <c r="G12" i="13"/>
  <c r="G11" i="13"/>
  <c r="H10" i="15" l="1"/>
  <c r="H11" i="14"/>
  <c r="G12" i="14"/>
  <c r="G11" i="14"/>
  <c r="K11" i="13"/>
  <c r="L11" i="13"/>
  <c r="K12" i="13"/>
  <c r="L12" i="13"/>
  <c r="H11" i="13"/>
  <c r="I8" i="29" l="1"/>
  <c r="F8" i="29"/>
  <c r="I7" i="29"/>
  <c r="F7" i="29"/>
  <c r="I7" i="28"/>
  <c r="F7" i="28"/>
  <c r="G11" i="28" l="1"/>
  <c r="H11" i="28"/>
  <c r="I10" i="28"/>
  <c r="I11" i="28" s="1"/>
  <c r="F10" i="28"/>
  <c r="F11" i="28" s="1"/>
  <c r="H7" i="28"/>
  <c r="G13" i="11"/>
  <c r="H12" i="11"/>
  <c r="L12" i="11"/>
  <c r="K12" i="11"/>
  <c r="K13" i="11"/>
  <c r="M13" i="11" s="1"/>
  <c r="G12" i="12" l="1"/>
  <c r="H11" i="12"/>
  <c r="K11" i="12"/>
  <c r="G8" i="26" l="1"/>
  <c r="L8" i="26" s="1"/>
  <c r="N8" i="26" s="1"/>
  <c r="G7" i="26"/>
  <c r="L7" i="26" s="1"/>
  <c r="N7" i="26" s="1"/>
  <c r="K8" i="26"/>
  <c r="M8" i="26" s="1"/>
  <c r="K7" i="26"/>
  <c r="M7" i="26" s="1"/>
  <c r="H8" i="26" l="1"/>
  <c r="H7" i="26"/>
  <c r="G10" i="18"/>
  <c r="F10" i="18"/>
  <c r="G9" i="18"/>
  <c r="F9" i="18"/>
  <c r="E10" i="18"/>
  <c r="D10" i="18"/>
  <c r="E9" i="18"/>
  <c r="D9" i="18"/>
  <c r="G10" i="17"/>
  <c r="F10" i="17"/>
  <c r="G9" i="17"/>
  <c r="F9" i="17"/>
  <c r="E10" i="17"/>
  <c r="D10" i="17"/>
  <c r="D9" i="17"/>
  <c r="E9" i="17"/>
  <c r="H9" i="16" l="1"/>
  <c r="K9" i="16"/>
  <c r="M9" i="16" s="1"/>
  <c r="L9" i="16"/>
  <c r="N9" i="16" s="1"/>
  <c r="K8" i="25" l="1"/>
  <c r="M8" i="25" s="1"/>
  <c r="K10" i="15"/>
  <c r="M10" i="15" s="1"/>
  <c r="M12" i="16"/>
  <c r="M11" i="25"/>
  <c r="M10" i="25"/>
  <c r="K8" i="15"/>
  <c r="M8" i="15" s="1"/>
  <c r="L8" i="15"/>
  <c r="N8" i="15" s="1"/>
  <c r="H8" i="15"/>
  <c r="M13" i="15"/>
  <c r="H8" i="25" l="1"/>
  <c r="J15" i="25"/>
  <c r="L8" i="25"/>
  <c r="N8" i="25" s="1"/>
  <c r="L10" i="15"/>
  <c r="N10" i="15" s="1"/>
  <c r="M12" i="15" l="1"/>
  <c r="J14" i="16" l="1"/>
  <c r="J15" i="16" s="1"/>
  <c r="H7" i="25"/>
  <c r="K9" i="15"/>
  <c r="M9" i="15" s="1"/>
  <c r="L9" i="15"/>
  <c r="N9" i="15" s="1"/>
  <c r="H9" i="15"/>
  <c r="L7" i="25" l="1"/>
  <c r="N7" i="25" s="1"/>
  <c r="K7" i="25"/>
  <c r="M7" i="25" s="1"/>
  <c r="N8" i="24" l="1"/>
  <c r="M8" i="24"/>
  <c r="N7" i="24"/>
  <c r="M7" i="24"/>
  <c r="L8" i="23"/>
  <c r="K8" i="23"/>
  <c r="H8" i="23"/>
  <c r="L7" i="23"/>
  <c r="K7" i="23"/>
  <c r="H7" i="23"/>
  <c r="K12" i="14" l="1"/>
  <c r="M12" i="14" s="1"/>
  <c r="L14" i="13"/>
  <c r="N14" i="13" s="1"/>
  <c r="M12" i="13"/>
  <c r="K13" i="13"/>
  <c r="M13" i="13" s="1"/>
  <c r="K14" i="13"/>
  <c r="M14" i="13" s="1"/>
  <c r="K11" i="11"/>
  <c r="M11" i="11" s="1"/>
  <c r="H13" i="11" l="1"/>
  <c r="L13" i="11"/>
  <c r="N13" i="11" s="1"/>
  <c r="H11" i="11"/>
  <c r="L11" i="11"/>
  <c r="N11" i="11" s="1"/>
  <c r="L12" i="12"/>
  <c r="N12" i="13"/>
  <c r="H12" i="13"/>
  <c r="L12" i="14"/>
  <c r="N12" i="14" s="1"/>
  <c r="H12" i="14"/>
  <c r="H14" i="13"/>
  <c r="H12" i="12"/>
  <c r="L13" i="13" l="1"/>
  <c r="N13" i="13" s="1"/>
  <c r="H13" i="13"/>
  <c r="G12" i="20"/>
  <c r="G11" i="20"/>
  <c r="G10" i="20"/>
  <c r="G9" i="20"/>
  <c r="G8" i="20"/>
  <c r="G7" i="20"/>
  <c r="E8" i="21" l="1"/>
  <c r="E7" i="21" l="1"/>
  <c r="E8" i="22"/>
  <c r="E7" i="22"/>
  <c r="G8" i="18" l="1"/>
  <c r="F8" i="18"/>
  <c r="G7" i="18"/>
  <c r="F7" i="18"/>
  <c r="E8" i="18"/>
  <c r="D8" i="18"/>
  <c r="E7" i="18"/>
  <c r="D7" i="18"/>
  <c r="E8" i="17"/>
  <c r="D8" i="17"/>
  <c r="E7" i="17"/>
  <c r="D7" i="17"/>
  <c r="G8" i="17"/>
  <c r="F8" i="17"/>
  <c r="G7" i="17"/>
  <c r="F7" i="17"/>
  <c r="G14" i="7" l="1"/>
  <c r="H14" i="7" s="1"/>
  <c r="L14" i="20"/>
  <c r="K14" i="20"/>
  <c r="H14" i="20"/>
  <c r="L13" i="20"/>
  <c r="N13" i="20" s="1"/>
  <c r="K13" i="20"/>
  <c r="M13" i="20" s="1"/>
  <c r="H13" i="20"/>
  <c r="L12" i="20"/>
  <c r="N12" i="20" s="1"/>
  <c r="K12" i="20"/>
  <c r="M12" i="20" s="1"/>
  <c r="H12" i="20"/>
  <c r="L11" i="20"/>
  <c r="N11" i="20" s="1"/>
  <c r="K11" i="20"/>
  <c r="M11" i="20" s="1"/>
  <c r="H11" i="20"/>
  <c r="L10" i="20"/>
  <c r="N10" i="20" s="1"/>
  <c r="K10" i="20"/>
  <c r="M10" i="20" s="1"/>
  <c r="H10" i="20"/>
  <c r="L9" i="20"/>
  <c r="N9" i="20" s="1"/>
  <c r="K9" i="20"/>
  <c r="M9" i="20" s="1"/>
  <c r="H9" i="20"/>
  <c r="L8" i="20"/>
  <c r="N8" i="20" s="1"/>
  <c r="K8" i="20"/>
  <c r="M8" i="20" s="1"/>
  <c r="H8" i="20"/>
  <c r="L7" i="20"/>
  <c r="N7" i="20" s="1"/>
  <c r="K7" i="20"/>
  <c r="M7" i="20" s="1"/>
  <c r="H7" i="20"/>
  <c r="K14" i="7"/>
  <c r="L14" i="7" l="1"/>
  <c r="L8" i="19"/>
  <c r="L7" i="19"/>
  <c r="K8" i="19"/>
  <c r="K7" i="19"/>
  <c r="L8" i="16"/>
  <c r="N8" i="16" s="1"/>
  <c r="K8" i="16"/>
  <c r="M8" i="16" s="1"/>
  <c r="L7" i="16"/>
  <c r="N7" i="16" s="1"/>
  <c r="K7" i="16"/>
  <c r="M7" i="16" s="1"/>
  <c r="L7" i="15"/>
  <c r="N7" i="15" s="1"/>
  <c r="K7" i="15"/>
  <c r="M7" i="15" s="1"/>
  <c r="L10" i="14"/>
  <c r="N10" i="14" s="1"/>
  <c r="K10" i="14"/>
  <c r="M10" i="14" s="1"/>
  <c r="L9" i="14"/>
  <c r="N9" i="14" s="1"/>
  <c r="K9" i="14"/>
  <c r="M9" i="14" s="1"/>
  <c r="L8" i="14"/>
  <c r="N8" i="14" s="1"/>
  <c r="K8" i="14"/>
  <c r="M8" i="14" s="1"/>
  <c r="L7" i="14"/>
  <c r="N7" i="14" s="1"/>
  <c r="K7" i="14"/>
  <c r="M7" i="14" s="1"/>
  <c r="L10" i="13"/>
  <c r="N10" i="13" s="1"/>
  <c r="K10" i="13"/>
  <c r="M10" i="13" s="1"/>
  <c r="L9" i="13"/>
  <c r="N9" i="13" s="1"/>
  <c r="K9" i="13"/>
  <c r="M9" i="13" s="1"/>
  <c r="L8" i="13"/>
  <c r="N8" i="13" s="1"/>
  <c r="K8" i="13"/>
  <c r="M8" i="13" s="1"/>
  <c r="L7" i="13"/>
  <c r="N7" i="13" s="1"/>
  <c r="K7" i="13"/>
  <c r="M7" i="13" s="1"/>
  <c r="L10" i="12"/>
  <c r="N10" i="12" s="1"/>
  <c r="K10" i="12"/>
  <c r="M10" i="12" s="1"/>
  <c r="L9" i="12"/>
  <c r="N9" i="12" s="1"/>
  <c r="K9" i="12"/>
  <c r="M9" i="12" s="1"/>
  <c r="L8" i="12"/>
  <c r="N8" i="12" s="1"/>
  <c r="K8" i="12"/>
  <c r="M8" i="12" s="1"/>
  <c r="L7" i="12"/>
  <c r="N7" i="12" s="1"/>
  <c r="K7" i="12"/>
  <c r="M7" i="12" s="1"/>
  <c r="L10" i="11"/>
  <c r="N10" i="11" s="1"/>
  <c r="K10" i="11"/>
  <c r="M10" i="11" s="1"/>
  <c r="L9" i="11"/>
  <c r="N9" i="11" s="1"/>
  <c r="K9" i="11"/>
  <c r="M9" i="11" s="1"/>
  <c r="L8" i="11"/>
  <c r="N8" i="11" s="1"/>
  <c r="K8" i="11"/>
  <c r="M8" i="11" s="1"/>
  <c r="L7" i="11"/>
  <c r="N7" i="11" s="1"/>
  <c r="K7" i="11"/>
  <c r="M7" i="11" s="1"/>
  <c r="H8" i="19" l="1"/>
  <c r="K10" i="17" l="1"/>
  <c r="J10" i="17"/>
  <c r="K9" i="17"/>
  <c r="J9" i="17"/>
  <c r="K8" i="17"/>
  <c r="J8" i="17"/>
  <c r="K7" i="17"/>
  <c r="J7" i="17"/>
  <c r="K10" i="18"/>
  <c r="J10" i="18"/>
  <c r="J9" i="18"/>
  <c r="K9" i="18"/>
  <c r="L13" i="9" l="1"/>
  <c r="N13" i="9" s="1"/>
  <c r="K13" i="9"/>
  <c r="M13" i="9" s="1"/>
  <c r="L12" i="9"/>
  <c r="N12" i="9" s="1"/>
  <c r="K12" i="9"/>
  <c r="M12" i="9" s="1"/>
  <c r="L11" i="9"/>
  <c r="N11" i="9" s="1"/>
  <c r="K11" i="9"/>
  <c r="M11" i="9" s="1"/>
  <c r="L10" i="9"/>
  <c r="N10" i="9" s="1"/>
  <c r="K10" i="9"/>
  <c r="M10" i="9" s="1"/>
  <c r="L9" i="9"/>
  <c r="N9" i="9" s="1"/>
  <c r="K9" i="9"/>
  <c r="M9" i="9" s="1"/>
  <c r="L8" i="9"/>
  <c r="N8" i="9" s="1"/>
  <c r="K8" i="9"/>
  <c r="M8" i="9" s="1"/>
  <c r="L7" i="9"/>
  <c r="N7" i="9" s="1"/>
  <c r="K7" i="9"/>
  <c r="M7" i="9" s="1"/>
  <c r="K8" i="7"/>
  <c r="M8" i="7" s="1"/>
  <c r="L8" i="7"/>
  <c r="N8" i="7" s="1"/>
  <c r="K9" i="7"/>
  <c r="M9" i="7" s="1"/>
  <c r="L9" i="7"/>
  <c r="N9" i="7" s="1"/>
  <c r="K10" i="7"/>
  <c r="M10" i="7" s="1"/>
  <c r="L10" i="7"/>
  <c r="N10" i="7" s="1"/>
  <c r="K11" i="7"/>
  <c r="M11" i="7" s="1"/>
  <c r="L11" i="7"/>
  <c r="N11" i="7" s="1"/>
  <c r="K12" i="7"/>
  <c r="M12" i="7" s="1"/>
  <c r="L12" i="7"/>
  <c r="N12" i="7" s="1"/>
  <c r="K13" i="7"/>
  <c r="M13" i="7" s="1"/>
  <c r="L13" i="7"/>
  <c r="N13" i="7" s="1"/>
  <c r="L7" i="7"/>
  <c r="N7" i="7" s="1"/>
  <c r="K7" i="7"/>
  <c r="M7" i="7" s="1"/>
  <c r="H7" i="19" l="1"/>
  <c r="K8" i="18" l="1"/>
  <c r="J8" i="18"/>
  <c r="K7" i="18"/>
  <c r="J7" i="18"/>
  <c r="H8" i="16"/>
  <c r="H7" i="16"/>
  <c r="H7" i="15"/>
  <c r="H10" i="14"/>
  <c r="H9" i="14"/>
  <c r="H8" i="14"/>
  <c r="H7" i="14"/>
  <c r="H10" i="13"/>
  <c r="H9" i="13"/>
  <c r="H8" i="13"/>
  <c r="H7" i="13"/>
  <c r="H10" i="12"/>
  <c r="H9" i="12"/>
  <c r="H8" i="12"/>
  <c r="H7" i="12"/>
  <c r="H10" i="11"/>
  <c r="H9" i="11"/>
  <c r="H8" i="11"/>
  <c r="H7" i="11"/>
  <c r="H13" i="9"/>
  <c r="H12" i="9"/>
  <c r="H11" i="9"/>
  <c r="H10" i="9"/>
  <c r="H9" i="9"/>
  <c r="H8" i="9"/>
  <c r="H7" i="9"/>
  <c r="H13" i="7"/>
  <c r="H12" i="7"/>
  <c r="H11" i="7"/>
  <c r="H10" i="7"/>
  <c r="H9" i="7"/>
  <c r="H8" i="7"/>
  <c r="H7" i="7"/>
  <c r="G65" i="5" l="1"/>
  <c r="G64" i="5"/>
  <c r="G63" i="5"/>
  <c r="G61" i="5"/>
  <c r="G60" i="5"/>
  <c r="G55" i="5"/>
  <c r="G54" i="5"/>
  <c r="G52" i="5"/>
  <c r="G51" i="5"/>
  <c r="G49" i="5"/>
  <c r="G48" i="5"/>
  <c r="G42" i="5"/>
  <c r="G41" i="5"/>
  <c r="G39" i="5"/>
  <c r="G38" i="5"/>
  <c r="E34" i="5"/>
  <c r="G33" i="5"/>
  <c r="E29" i="5"/>
  <c r="G28" i="5"/>
  <c r="E24" i="5"/>
  <c r="G23" i="5"/>
  <c r="E19" i="5"/>
  <c r="E18" i="5"/>
  <c r="G18" i="5" s="1"/>
  <c r="E15" i="5"/>
  <c r="G15" i="5" s="1"/>
  <c r="G14" i="5"/>
  <c r="G12" i="5"/>
  <c r="G11" i="5"/>
  <c r="G10" i="5"/>
  <c r="G9" i="5"/>
  <c r="G8" i="5"/>
  <c r="G7" i="5"/>
  <c r="G6" i="5"/>
  <c r="G19" i="5" l="1"/>
  <c r="E21" i="5"/>
  <c r="G21" i="5" s="1"/>
  <c r="E20" i="5"/>
  <c r="G20" i="5" s="1"/>
  <c r="E25" i="5"/>
  <c r="G25" i="5" s="1"/>
  <c r="E26" i="5"/>
  <c r="G26" i="5" s="1"/>
  <c r="E30" i="5"/>
  <c r="G30" i="5" s="1"/>
  <c r="E31" i="5"/>
  <c r="G31" i="5" s="1"/>
  <c r="E36" i="5"/>
  <c r="G36" i="5" s="1"/>
  <c r="E35" i="5"/>
  <c r="G35" i="5" s="1"/>
  <c r="G34" i="5"/>
  <c r="G67" i="5"/>
  <c r="G66" i="5"/>
  <c r="G29" i="5"/>
  <c r="G24" i="5"/>
</calcChain>
</file>

<file path=xl/sharedStrings.xml><?xml version="1.0" encoding="utf-8"?>
<sst xmlns="http://schemas.openxmlformats.org/spreadsheetml/2006/main" count="710" uniqueCount="259">
  <si>
    <t>Magnet Strength Limits</t>
  </si>
  <si>
    <r>
      <t>This workbook summarizes grandient strength limits for magnet types used in MAX 4</t>
    </r>
    <r>
      <rPr>
        <vertAlign val="superscript"/>
        <sz val="12"/>
        <color theme="1"/>
        <rFont val="Calibri"/>
        <family val="2"/>
        <scheme val="minor"/>
      </rPr>
      <t>U</t>
    </r>
  </si>
  <si>
    <t>Brho</t>
  </si>
  <si>
    <t>T.m</t>
  </si>
  <si>
    <t>Note: Multipole definitions include the factorial in the Taylor expansion, i.e.</t>
  </si>
  <si>
    <t>Revision History</t>
  </si>
  <si>
    <t>Sextupole Gradient = 1/2*d2B/dx2, Octupole Gradient = 1/6*d3B/dx3</t>
  </si>
  <si>
    <t>Date</t>
  </si>
  <si>
    <t>Version</t>
  </si>
  <si>
    <t>Created/Edited By</t>
  </si>
  <si>
    <t>Description</t>
  </si>
  <si>
    <t>Pedro</t>
  </si>
  <si>
    <t>Firs draft based on data in the DDR, measured data of existing magnets  and the most recent design studies by Alexey</t>
  </si>
  <si>
    <t>Updates of octupoles and sextupoles</t>
  </si>
  <si>
    <t>Updated description of limits for gradients in dipole magnets</t>
  </si>
  <si>
    <t>Complete reorganization with one tab per magnet type and new numbers from Alexey. Added sextupole trim coil limits (in quad mode)</t>
  </si>
  <si>
    <t>Corrected labelling of dipole magnet gradient limits. Introduced columns with central gradients calculated based on the lattice length of the magnets for QF-QFm, Qfend-Qdend</t>
  </si>
  <si>
    <t>Alexey</t>
  </si>
  <si>
    <t>Updated values for SFI-SFO and SDend
@100A and 130 A -3D model</t>
  </si>
  <si>
    <t>Updated dip/dipm tables based on the assumption that a modified poleface design can provide both an increase or decrease of the gradient. Update of challenge level scale</t>
  </si>
  <si>
    <t>Formatting and further review of the challenege levels</t>
  </si>
  <si>
    <t>Formattin only, no changes to numbers</t>
  </si>
  <si>
    <t>Updated values for SFm and SD
@100A and 130 A -3D model</t>
  </si>
  <si>
    <t>Updated values for OXX-OXY @ full current</t>
  </si>
  <si>
    <t>Added lines to QF-Qfm tab corresponding to increased magnet length.
Updated Qf/QFm table based on Alexeys slides at the magnet review meeting.
Added tab for reverse bend limits (WIP)</t>
  </si>
  <si>
    <t>Added tabs to indicate limits for the integrated dipole component in dipm and dip.
Changed order of the tabs to correspond to the order in the LatticeSummaries table.
Updated limits to reverse bends</t>
  </si>
  <si>
    <t>Updates to sextupole limits based on meeting held on 2024/11/06</t>
  </si>
  <si>
    <t>minor correction of labelling in the dip_field tab</t>
  </si>
  <si>
    <t>added tabs for ccombined function Sextupole/Quadrupoles</t>
  </si>
  <si>
    <t>added new range for OXX/OXY octupoles</t>
  </si>
  <si>
    <t>updated octupole tabs</t>
  </si>
  <si>
    <t>Updates notes on current status of Octupole power supplies</t>
  </si>
  <si>
    <t>Updates of octupole limits. Divisde the octupoles into three separate dabs</t>
  </si>
  <si>
    <t>Updates to octupole limits. Take into account that all octupole families have at least two magnets with larger bore diameter (36 mm) even if most have a smaller one (25 mm).</t>
  </si>
  <si>
    <t>Updates to Octupole limits, following latest calculations by Alexey and estimates by Åke of reduced aperture octupoles in achromat 1</t>
  </si>
  <si>
    <t>Updates to Octupole limits</t>
  </si>
  <si>
    <t>Updates to dipole magnet limits</t>
  </si>
  <si>
    <t>Updates to quadrupole components in sextupoles. Still Work In Progress, this is an updated guess based on more recent calculations</t>
  </si>
  <si>
    <t>Added the magnet tye (X1) , an extra 5-cm long quadrupole to be installed rght downstream of the U1 and U2 blocks and right upsteam of the U4 and u5 blocks.</t>
  </si>
  <si>
    <t>Added coupled combined funcion sextupoles/quadrupoles</t>
  </si>
  <si>
    <t>Updates to sextupoles. Combined sextupoles and quadrupoles and octupoles.</t>
  </si>
  <si>
    <t>Nominal Integrated Field</t>
  </si>
  <si>
    <t>Calculations were done for the unit cell dipole</t>
  </si>
  <si>
    <t>Coil current to achiev nominal deflection</t>
  </si>
  <si>
    <t>A</t>
  </si>
  <si>
    <t>Here we assumeno saturationm as was the case for the dip magnets</t>
  </si>
  <si>
    <t>Magnet Type 
(DDR naming convention)</t>
  </si>
  <si>
    <t>Design Features</t>
  </si>
  <si>
    <t>Integrated 
Field
[T]</t>
  </si>
  <si>
    <t>Challenge Level</t>
  </si>
  <si>
    <t>Comments</t>
  </si>
  <si>
    <t>Min</t>
  </si>
  <si>
    <t>Max</t>
  </si>
  <si>
    <t>dipm</t>
  </si>
  <si>
    <t>as built</t>
  </si>
  <si>
    <t>as built plus existing power supply at maximum current</t>
  </si>
  <si>
    <t>Nominal Integrated gradient</t>
  </si>
  <si>
    <t>T</t>
  </si>
  <si>
    <t>Nominal Strongest slice</t>
  </si>
  <si>
    <t>T/m</t>
  </si>
  <si>
    <t>Here we assme the same factors for the matching cell dipole</t>
  </si>
  <si>
    <t>Gradient (strongest slice)
[T/m]</t>
  </si>
  <si>
    <t>Integrated 
Gradient
[T]</t>
  </si>
  <si>
    <t>Min   K
[m**-2]</t>
  </si>
  <si>
    <t>K
[m**-2]</t>
  </si>
  <si>
    <t>4% range of existing pole face strips</t>
  </si>
  <si>
    <t>as built  plus extended range of pole face strip ps</t>
  </si>
  <si>
    <t>10% range of pole face strips by increasing ps curent</t>
  </si>
  <si>
    <t>Modified pole tip + existing range of pole face strips</t>
  </si>
  <si>
    <t>Maximum is based on 2D calculation (for the  unit cell dipole) with modified pole face angle that allows an increase of the gradient by +/- 26.3 %. Minimum assumes new pole faces are parallel and the same absolute range is given by the pole face strips</t>
  </si>
  <si>
    <t>Modified pole tip +extended range of pole face strips</t>
  </si>
  <si>
    <t>Opera 3D excitation curve shows no sign of saturation up to 1.1 kA</t>
  </si>
  <si>
    <t>Integrated Field
[T.m]</t>
  </si>
  <si>
    <t>dip</t>
  </si>
  <si>
    <t>as built plus existing power supply at maximum current (750 A)</t>
  </si>
  <si>
    <t>as built + new power supply (1000 A)</t>
  </si>
  <si>
    <t>Integrated Gradient
[T]</t>
  </si>
  <si>
    <t>as built plus extended range of pole face strip ps</t>
  </si>
  <si>
    <t>Bsaed on 2D calculation that allows a change of the gradient by +/- 26.3 %</t>
  </si>
  <si>
    <t>Lattice Length 
[m]</t>
  </si>
  <si>
    <t>Magnetic Length 
[m]</t>
  </si>
  <si>
    <t>Max Central  Gradient
[T/m]</t>
  </si>
  <si>
    <t>Min Lattice Central  Gradient
[T/m]</t>
  </si>
  <si>
    <t>Max Lattice Central  Gradient
[T/m]</t>
  </si>
  <si>
    <t>Min Lattice Central  K
[m**-2]</t>
  </si>
  <si>
    <t>Max Lattice Central  K
[m**-2]</t>
  </si>
  <si>
    <t>Qfend/Qdend - similar to QF/QFM (pole root width, profile, coil NW), but by 100 mm longer (yoke)=&gt; Qfend=QF values(Lmag=144 mm) +100 mm</t>
  </si>
  <si>
    <t>Qfend/Qdend</t>
  </si>
  <si>
    <t>as built, measured @ nominal current (65 A)</t>
  </si>
  <si>
    <t xml:space="preserve">as built, measured @ higher current (77 A) </t>
  </si>
  <si>
    <t>as built, max current (100 A) from existing ps , mag efficiency 76%</t>
  </si>
  <si>
    <t>as built, upgraded ps (150 A), mag. efficiency 55.7 %</t>
  </si>
  <si>
    <t>narrower poles + new pole material with existing ps at full current (100 A)</t>
  </si>
  <si>
    <t>narrower poles + new pole material, upgraded ps (150 A)</t>
  </si>
  <si>
    <t>narrower poles + new pole material + thicker pole roots + new ps(148 A)</t>
  </si>
  <si>
    <t>QF/QFm</t>
  </si>
  <si>
    <t>as built, measured @ nominal curent (77.2 A)</t>
  </si>
  <si>
    <t>as built, measured @ higher current (85 A) , magnet efficiency at 84%</t>
  </si>
  <si>
    <t>From Alexey´s Opera 3D calc in QF_upgrade_2024</t>
  </si>
  <si>
    <t>narrower poles + new pole material, new ps (150 A)</t>
  </si>
  <si>
    <t>narrower poles +  thicker pole roots + new ps (150 A)</t>
  </si>
  <si>
    <t>narrower poles +  thicker pole roots + new ps (150 A) + longer magnet by 60 mm</t>
  </si>
  <si>
    <t>Space available in U2 and U3 blocks (QF magnets ), not in U1 (Qfm magnets). Value estimated from scaling with length</t>
  </si>
  <si>
    <t>Xq (new magnet)</t>
  </si>
  <si>
    <t>based o the maxium we can get from a Qfm with the present design  quad, scaled by the length</t>
  </si>
  <si>
    <t>based o the maxium we can get from a Qfm with thicker pole roots, scaled by the length</t>
  </si>
  <si>
    <t>Based on QF, bore diameter increased from 25 mm to 34 mm</t>
  </si>
  <si>
    <t xml:space="preserve">Magnet Type 
(derived from the QF/QFm but with larger aperture
</t>
  </si>
  <si>
    <t>Rn</t>
  </si>
  <si>
    <t>Based on scaling with the square of the bore radius</t>
  </si>
  <si>
    <t>narrower poles + new pole material + thicker pole roots + new ps (148 A)</t>
  </si>
  <si>
    <t>from Alexey´s presentation at magnet review</t>
  </si>
  <si>
    <t>narrower poles + new pole material + thicker pole roots + new ps (148 A) + magnet length increased by 60 mm</t>
  </si>
  <si>
    <t>Integrated Gradient
[T/m]</t>
  </si>
  <si>
    <t>Max Central  Gradient
[T/m**2]</t>
  </si>
  <si>
    <t>Min Lattice Central  Gradient
[T/m**2]</t>
  </si>
  <si>
    <t>Max Lattice Central  Gradient
[T/m**2]</t>
  </si>
  <si>
    <t>Min Lattice Central  K
[m**-3]</t>
  </si>
  <si>
    <t>Max Lattice Central  K
[m**-3]</t>
  </si>
  <si>
    <t>Sdend</t>
  </si>
  <si>
    <t>as built, measured @ nominal current (69.9 A)</t>
  </si>
  <si>
    <t>as built, measured @ higher current (82 A)</t>
  </si>
  <si>
    <t>as built, highest current with existing ps (100 A)</t>
  </si>
  <si>
    <t>OPERA 3D model 30.05.2024</t>
  </si>
  <si>
    <t>as built, upgraded power supply (130 A)</t>
  </si>
  <si>
    <t>OPERA 3D model 30.05.2024, updated by Henrique March 2025</t>
  </si>
  <si>
    <t>Changed pole geometry, same length, new coils max current with new ps (150 A)</t>
  </si>
  <si>
    <t>Calculations by Henrique in Send_Model2025</t>
  </si>
  <si>
    <t>Changed pole geometry, same length, new  max current with new ps (170 A)</t>
  </si>
  <si>
    <t>Changed pole geometry, length increased by 18 mm , new coils,  new ps (170 A)</t>
  </si>
  <si>
    <t>Impact of length increase calculated by scaling</t>
  </si>
  <si>
    <t>Measured values (average all Magnets SDend)</t>
  </si>
  <si>
    <t>Imain(A)</t>
  </si>
  <si>
    <t>B"/2·L (T/m)</t>
  </si>
  <si>
    <r>
      <rPr>
        <sz val="14"/>
        <rFont val="Calibri"/>
        <family val="2"/>
      </rPr>
      <t>Sfm</t>
    </r>
    <r>
      <rPr>
        <sz val="11"/>
        <rFont val="Calibri"/>
        <family val="2"/>
      </rPr>
      <t xml:space="preserve">
except special (11 turns/coil Inom=~83 A ):
 R3-302U1/MAG/SXFM-01
R3-302U5/MAG/SXFM-01</t>
    </r>
  </si>
  <si>
    <t>OPERA 3D model 11.06.2024</t>
  </si>
  <si>
    <t>as built, new power supply (130 A)</t>
  </si>
  <si>
    <t>New pole geometry (narrower pole tips, remove cutouts), same coils</t>
  </si>
  <si>
    <t>From RADIA calculations by Lars-Johan</t>
  </si>
  <si>
    <t>New pole geometry (narrower pole tups, remove cutouts) + 10 mm  longer</t>
  </si>
  <si>
    <t>same as above scaled by length</t>
  </si>
  <si>
    <t>narrower poles + remove cutouts</t>
  </si>
  <si>
    <t>10 mm longer</t>
  </si>
  <si>
    <t>make poles narrower and even lomger magnet</t>
  </si>
  <si>
    <t>whatwas this ?</t>
  </si>
  <si>
    <t>Sd</t>
  </si>
  <si>
    <t>as built, nominal current ( 55.9 A)</t>
  </si>
  <si>
    <t>j@130A=12 A/mm2, cooling OK: ΔT=6.5°C @ΔP=2 bar</t>
  </si>
  <si>
    <t>as built, measured @ higher current ( 66.4 A)</t>
  </si>
  <si>
    <t>as built, highest current with existing ps ( 100 A)</t>
  </si>
  <si>
    <t>From calculations by Henrique for the Sdend in SdendModel_2024.xlsx</t>
  </si>
  <si>
    <t>Changed pole geometry, same length, same coils  max current with new ps (170 A)</t>
  </si>
  <si>
    <t>from calculations by Henrique for the Sdend in SdendModel_2024.xlsx</t>
  </si>
  <si>
    <t>Changed pole geometry, new coils, max current with ne ps (170 A)  + 35 mm longer</t>
  </si>
  <si>
    <t xml:space="preserve">Based on Henriques 2D calculations plus scaling with length
</t>
  </si>
  <si>
    <t>Changed pole geometry, new coils, max current with ne ps (170 A)  + 87.5 mm longer - requires new block</t>
  </si>
  <si>
    <t>SFI/SFO</t>
  </si>
  <si>
    <t>as built, nominal current (77.3 A)</t>
  </si>
  <si>
    <t>as built, measured @ higher current (86.4 A)</t>
  </si>
  <si>
    <t>Changed pole geometry, same length, same coils max current with new ps (150 A)</t>
  </si>
  <si>
    <t>based on Sdend calculations, scaled for the NI</t>
  </si>
  <si>
    <t>Changed pole geometry, same length, new coils max current with new ps (150 A), longer by 10 mm</t>
  </si>
  <si>
    <t>To be calculated, present value obtained scaling with the length</t>
  </si>
  <si>
    <t>Measured values (average all Magnets Sfi and SFo)</t>
  </si>
  <si>
    <t>OPERA 3D model</t>
  </si>
  <si>
    <t>Imain(A), Itrim=0A</t>
  </si>
  <si>
    <t>B"/2·L(T/m)</t>
  </si>
  <si>
    <t>Integrated Gradient
[T.m**2]</t>
  </si>
  <si>
    <t>Max Central  Gradient
[T/m**3]</t>
  </si>
  <si>
    <t>Min Lattice Central  Gradient
[T/m**3]</t>
  </si>
  <si>
    <t>Max Lattice Central  Gradient
[T/m**3]</t>
  </si>
  <si>
    <t>Min Lattice Central  K
[m**-4]</t>
  </si>
  <si>
    <t>Max Lattice Central  K
[m**-4]</t>
  </si>
  <si>
    <t>OXX</t>
  </si>
  <si>
    <t>25 mm aperture - for all achromats except achromat 1, ps at 56.88 A
36 mm aperture for achromat 01 , ps at 247 A</t>
  </si>
  <si>
    <t>new ps for all achromats except 01</t>
  </si>
  <si>
    <t>25 mm aperture - for all achromats except achromat 1, ps at 91 A
36 mm aperture for achromat 01 , ps at 400 A</t>
  </si>
  <si>
    <t xml:space="preserve"> new ps all achromats</t>
  </si>
  <si>
    <t xml:space="preserve">25 mm aperture - for all achromts except achromat 1, ps at 107 A
36 mm aperture for achromat 01 , ps at ~500 A 
</t>
  </si>
  <si>
    <t xml:space="preserve">new ps all achromats + new octupoles with 34 mm bore diamter in achromat 01 </t>
  </si>
  <si>
    <t xml:space="preserve">25 mm aperture - for all achromts except achromat 1, ps at 134 A
34 mm aperture for achromat 01 , ps at ~500 A . Based on Alexeys Opera calculation in Oxx_Oxy_Oyy_Model2024.xsx
</t>
  </si>
  <si>
    <t>Notes</t>
  </si>
  <si>
    <t>38 of the OXXs are today fed by one power supply ( R3_A102011CAB19_MAG_PSPH01)</t>
  </si>
  <si>
    <t>This is  a delta model  SM-60.100 with max ratings 100 A/60 V. In routine operation we have 28.3 A/29.85 V</t>
  </si>
  <si>
    <t>max current limited by voltage</t>
  </si>
  <si>
    <t>2 of the OXXs (in achromat 1) are fed from R3_A110111CAB08_MAG_PSPE01; This is a Delta SM-15 400 with max ratings 400 A/15 V, In routine operation we have 41.4 A /1 0 V</t>
  </si>
  <si>
    <t>max current limited by volatge</t>
  </si>
  <si>
    <t>OXY</t>
  </si>
  <si>
    <t>25 mm aperture - for all achromats except achromat 1, ps at 107 A
36 mm aperture for achromat 01 , ps at 500 A</t>
  </si>
  <si>
    <t>new ps all achromats + new octupoles with 34 mm bore diamter in achromat 01.</t>
  </si>
  <si>
    <t>25 mm aperture - for all achromats except achromat 1, ps at 134 A
34 mm aperture for achromat 01 , ps at 500 A. Based on Alexeys Opera calculation in Oxx_Oxy_Oyy_Model2024.xsx</t>
  </si>
  <si>
    <t>38 of the OXYs are today fed from R3_A102011CAB16_MAG_PSDA01. This is a Danfysik 859-1Q 175A/100V . In routin e operation we have 57.3 A/49.6 V</t>
  </si>
  <si>
    <t>2 of the OXYs (in achromat 1) are fed by R3_A102011CAB18_MAG_PSDG01. This is a Danfysilk 859-1Q 500A/22V. In routine operation we have 254 A/8V</t>
  </si>
  <si>
    <t>OYY</t>
  </si>
  <si>
    <t>as built at 179 A</t>
  </si>
  <si>
    <t>maximum voltage of existing power supply</t>
  </si>
  <si>
    <t>as built + new power supply at 500 A</t>
  </si>
  <si>
    <t>new power supply</t>
  </si>
  <si>
    <t>new octupoles with 34 mm bore radius + new power supply</t>
  </si>
  <si>
    <t>new power supply and new magnets</t>
  </si>
  <si>
    <t>All 40 OYY magnets are today fed in series by R3_A102011CAB17_MAG_PSDB01. This is a Danfysik 859-1Q 225A/110V. In  routine operation we have today 94.9 A/58.3 V</t>
  </si>
  <si>
    <t>maximum current limited by voltage</t>
  </si>
  <si>
    <t>12.5 mm</t>
  </si>
  <si>
    <t>Min Int K
[m**-1]</t>
  </si>
  <si>
    <t>Max Int K
[m**-1]</t>
  </si>
  <si>
    <t>SextTrimsQ</t>
  </si>
  <si>
    <t>as built, measured @ max current (5 A)</t>
  </si>
  <si>
    <t>From email from Alexey on 2024/05/21.
updated guestimate based on calculations February 2025</t>
  </si>
  <si>
    <t>new coil design and power supplies</t>
  </si>
  <si>
    <t>Quadrupole component in sextupole magnet Sdend</t>
  </si>
  <si>
    <t>Sdend_combQ</t>
  </si>
  <si>
    <t>merely a copy from the trim coil tab</t>
  </si>
  <si>
    <t>Sd_combQ</t>
  </si>
  <si>
    <t>as built.redistribution of total NI</t>
  </si>
  <si>
    <t>guesstimate</t>
  </si>
  <si>
    <t>Integrated Sextupol   Gradient
[T/m]</t>
  </si>
  <si>
    <t>Integrated Quadrupole Gradient
[T]</t>
  </si>
  <si>
    <t>Sdend_Comb_Coupled</t>
  </si>
  <si>
    <t>from excitation curve in SdendModel2024 and scaling from from Henrique´s calculations at 130 A in the same file</t>
  </si>
  <si>
    <t>From Henrique´s 2D calcualations in SdendModel 2024.xlsx</t>
  </si>
  <si>
    <t>from Henrique´s calculation in SdendModel2025.xlsx</t>
  </si>
  <si>
    <t>Changed pole geometry, same length, new coils max current with new ps (170 A)</t>
  </si>
  <si>
    <t>scaled from Henrique´s calculations at 150 and 170 A</t>
  </si>
  <si>
    <t>Impact of increased length estimated by scaling</t>
  </si>
  <si>
    <t>Sd_Comb_Coupled</t>
  </si>
  <si>
    <t>From SDModel2024.xlsx and scaling from Sdend calculations in SdendModel2024.xlsx</t>
  </si>
  <si>
    <t>From Henrique´s calculation in SdendModel2025.xlsx</t>
  </si>
  <si>
    <t>Changed pole geometry, length increased by 35 mm , new coils,  new ps (170 A)</t>
  </si>
  <si>
    <t>Changed pole geometry, new coils, max current with new ps (170 A)  + 87.5 mm longer - requires new block</t>
  </si>
  <si>
    <t>Max integrated gradient</t>
  </si>
  <si>
    <t>Max Gradient</t>
  </si>
  <si>
    <t>as built, @ max current from existing ps (100 A)</t>
  </si>
  <si>
    <t>Obs: to be checked - for now just simple scaling</t>
  </si>
  <si>
    <t>T/m**2</t>
  </si>
  <si>
    <t>Sfm/Sfo</t>
  </si>
  <si>
    <t>as built, nominal current (70.1 A)</t>
  </si>
  <si>
    <t>as built, measured @ higher current ( 66.6 A)</t>
  </si>
  <si>
    <t>Sfi</t>
  </si>
  <si>
    <t>OXX, OXY</t>
  </si>
  <si>
    <t>as built, measured @ nominal current (106.7 A)</t>
  </si>
  <si>
    <t>T.m**2</t>
  </si>
  <si>
    <t>T/m**3</t>
  </si>
  <si>
    <t>as built at highest current from existing ps</t>
  </si>
  <si>
    <t>Obs: to be checked - for now just duplicate at lower current</t>
  </si>
  <si>
    <t>as built, nominal current (203.901 A)</t>
  </si>
  <si>
    <t>Gradient adjustment range with existing pole face strips and ps</t>
  </si>
  <si>
    <t>%</t>
  </si>
  <si>
    <t>Obs: to be checked</t>
  </si>
  <si>
    <t>Gradient adjustment range with modified pole face strip + new ps ??</t>
  </si>
  <si>
    <t>as built, existing poleface strips</t>
  </si>
  <si>
    <t>Minimum gradient</t>
  </si>
  <si>
    <t>Maximum gradient</t>
  </si>
  <si>
    <t>as built, modified poleface strips</t>
  </si>
  <si>
    <t>modified pole tip  (2D modelling) - no poleface strips</t>
  </si>
  <si>
    <t xml:space="preserve">Obs: to be checked - for now just assume same as dip </t>
  </si>
  <si>
    <t>Minimum gradient (modified pfs)</t>
  </si>
  <si>
    <t>Maximum gradient (modified pfs)</t>
  </si>
  <si>
    <t>Obs: to be checked - for now just assume 10%</t>
  </si>
  <si>
    <t>modified pole tip  (2D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</si>
</sst>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
    <numFmt numFmtId="167" formatCode="0.00000000"/>
    <numFmt numFmtId="168" formatCode="0.000000000"/>
    <numFmt numFmtId="169" formatCode="0.000000000000"/>
  </numFmts>
  <fonts count="23">
    <font>
      <sz val="11"/>
      <color theme="1"/>
      <name val="Calibri"/>
      <family val="2"/>
      <charset val="1"/>
      <scheme val="minor"/>
    </font>
    <font>
      <sz val="11"/>
      <color theme="1"/>
      <name val="Calibri"/>
      <family val="2"/>
      <charset val="1"/>
      <scheme val="minor"/>
    </font>
    <font>
      <b/>
      <sz val="20"/>
      <color theme="1"/>
      <name val="Calibri"/>
      <family val="2"/>
      <scheme val="minor"/>
    </font>
    <font>
      <sz val="11"/>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name val="Calibri"/>
      <family val="2"/>
    </font>
    <font>
      <sz val="14"/>
      <color theme="1"/>
      <name val="Calibri"/>
      <family val="2"/>
      <charset val="1"/>
      <scheme val="minor"/>
    </font>
    <font>
      <sz val="11"/>
      <name val="Calibri"/>
      <family val="2"/>
      <charset val="1"/>
    </font>
    <font>
      <sz val="14"/>
      <name val="Calibri"/>
      <family val="2"/>
      <charset val="1"/>
      <scheme val="minor"/>
    </font>
    <font>
      <sz val="11"/>
      <name val="Calibri"/>
      <family val="2"/>
      <charset val="1"/>
      <scheme val="minor"/>
    </font>
    <font>
      <sz val="16"/>
      <color theme="1"/>
      <name val="Calibri"/>
      <family val="2"/>
      <charset val="1"/>
      <scheme val="minor"/>
    </font>
    <font>
      <sz val="16"/>
      <name val="Calibri"/>
      <family val="2"/>
      <charset val="1"/>
    </font>
    <font>
      <sz val="14"/>
      <name val="Calibri"/>
      <family val="2"/>
      <charset val="1"/>
    </font>
    <font>
      <sz val="14"/>
      <name val="Calibri"/>
      <family val="2"/>
    </font>
    <font>
      <sz val="11"/>
      <color rgb="FF000000"/>
      <name val="Calibri"/>
      <family val="2"/>
    </font>
    <font>
      <sz val="12"/>
      <color theme="1"/>
      <name val="Calibri"/>
      <family val="2"/>
      <charset val="1"/>
      <scheme val="minor"/>
    </font>
    <font>
      <i/>
      <sz val="11"/>
      <color rgb="FFFF0000"/>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66"/>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 fillId="0" borderId="0"/>
  </cellStyleXfs>
  <cellXfs count="115">
    <xf numFmtId="0" fontId="0" fillId="0" borderId="0" xfId="0"/>
    <xf numFmtId="0" fontId="2" fillId="0" borderId="0" xfId="1" applyFont="1"/>
    <xf numFmtId="0" fontId="3" fillId="0" borderId="0" xfId="2"/>
    <xf numFmtId="0" fontId="4" fillId="0" borderId="0" xfId="2" applyFont="1"/>
    <xf numFmtId="0" fontId="6" fillId="2" borderId="4" xfId="2" applyFont="1" applyFill="1" applyBorder="1"/>
    <xf numFmtId="164" fontId="3" fillId="0" borderId="4" xfId="2" applyNumberFormat="1" applyBorder="1"/>
    <xf numFmtId="0" fontId="3" fillId="0" borderId="4" xfId="2" applyBorder="1" applyAlignment="1">
      <alignment horizontal="center"/>
    </xf>
    <xf numFmtId="0" fontId="3" fillId="0" borderId="4" xfId="2" applyBorder="1"/>
    <xf numFmtId="0" fontId="3" fillId="0" borderId="4" xfId="2" applyBorder="1" applyAlignment="1">
      <alignment wrapText="1"/>
    </xf>
    <xf numFmtId="165" fontId="3" fillId="0" borderId="4" xfId="2" applyNumberFormat="1" applyBorder="1" applyAlignment="1">
      <alignment horizontal="center"/>
    </xf>
    <xf numFmtId="0" fontId="7" fillId="0" borderId="0" xfId="1" applyFont="1"/>
    <xf numFmtId="0" fontId="9" fillId="0" borderId="4" xfId="3" applyFont="1" applyBorder="1" applyAlignment="1">
      <alignment wrapText="1"/>
    </xf>
    <xf numFmtId="2" fontId="1" fillId="0" borderId="4" xfId="3" applyNumberFormat="1" applyBorder="1"/>
    <xf numFmtId="0" fontId="9" fillId="0" borderId="4" xfId="3" applyFont="1" applyBorder="1" applyAlignment="1">
      <alignment horizontal="center"/>
    </xf>
    <xf numFmtId="165" fontId="1" fillId="0" borderId="4" xfId="3" applyNumberFormat="1" applyBorder="1"/>
    <xf numFmtId="0" fontId="1" fillId="0" borderId="0" xfId="3"/>
    <xf numFmtId="0" fontId="10" fillId="0" borderId="4" xfId="3" applyFont="1" applyBorder="1" applyAlignment="1">
      <alignment horizontal="center" vertical="center" wrapText="1"/>
    </xf>
    <xf numFmtId="0" fontId="10" fillId="0" borderId="1" xfId="3" applyFont="1" applyBorder="1" applyAlignment="1">
      <alignment horizontal="center" vertical="center" wrapText="1"/>
    </xf>
    <xf numFmtId="0" fontId="9" fillId="0" borderId="4" xfId="3" applyFont="1" applyBorder="1"/>
    <xf numFmtId="0" fontId="1" fillId="0" borderId="4" xfId="3" applyBorder="1" applyAlignment="1">
      <alignment horizontal="center"/>
    </xf>
    <xf numFmtId="0" fontId="9" fillId="0" borderId="7" xfId="3" applyFont="1" applyBorder="1" applyAlignment="1">
      <alignment wrapText="1"/>
    </xf>
    <xf numFmtId="0" fontId="1" fillId="0" borderId="7" xfId="3" applyBorder="1"/>
    <xf numFmtId="0" fontId="1" fillId="0" borderId="7" xfId="3" applyBorder="1" applyAlignment="1">
      <alignment horizontal="center"/>
    </xf>
    <xf numFmtId="1" fontId="1" fillId="0" borderId="4" xfId="3" applyNumberFormat="1" applyBorder="1"/>
    <xf numFmtId="1" fontId="1" fillId="0" borderId="7" xfId="3" applyNumberFormat="1" applyBorder="1"/>
    <xf numFmtId="0" fontId="9" fillId="0" borderId="7" xfId="3" applyFont="1" applyBorder="1" applyAlignment="1">
      <alignment horizontal="center"/>
    </xf>
    <xf numFmtId="165" fontId="1" fillId="0" borderId="7" xfId="3" applyNumberFormat="1" applyBorder="1"/>
    <xf numFmtId="0" fontId="9" fillId="0" borderId="5" xfId="3" applyFont="1" applyBorder="1"/>
    <xf numFmtId="0" fontId="1" fillId="0" borderId="4" xfId="3" applyBorder="1"/>
    <xf numFmtId="165" fontId="1" fillId="0" borderId="0" xfId="3" applyNumberFormat="1"/>
    <xf numFmtId="0" fontId="9" fillId="0" borderId="4" xfId="3" applyFont="1" applyBorder="1" applyAlignment="1">
      <alignment horizontal="right" wrapText="1"/>
    </xf>
    <xf numFmtId="0" fontId="10" fillId="0" borderId="1" xfId="3" applyFont="1" applyBorder="1" applyAlignment="1">
      <alignment horizontal="center" vertical="center"/>
    </xf>
    <xf numFmtId="0" fontId="9" fillId="0" borderId="4"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2" fillId="0" borderId="4" xfId="3" applyFont="1" applyBorder="1" applyAlignment="1">
      <alignment horizontal="center" vertical="center" wrapText="1"/>
    </xf>
    <xf numFmtId="0" fontId="12" fillId="0" borderId="1" xfId="3" applyFont="1" applyBorder="1" applyAlignment="1">
      <alignment horizontal="center" vertical="center" wrapText="1"/>
    </xf>
    <xf numFmtId="0" fontId="12" fillId="0" borderId="1" xfId="3" applyFont="1" applyBorder="1" applyAlignment="1">
      <alignment horizontal="center" vertical="center"/>
    </xf>
    <xf numFmtId="0" fontId="11" fillId="0" borderId="4" xfId="3" applyFont="1" applyBorder="1"/>
    <xf numFmtId="0" fontId="11" fillId="0" borderId="4" xfId="3" applyFont="1" applyBorder="1" applyAlignment="1">
      <alignment wrapText="1"/>
    </xf>
    <xf numFmtId="0" fontId="0" fillId="0" borderId="0" xfId="3" applyFont="1"/>
    <xf numFmtId="0" fontId="0" fillId="0" borderId="4" xfId="3" applyFont="1" applyBorder="1"/>
    <xf numFmtId="0" fontId="14" fillId="0" borderId="4" xfId="3" applyFont="1" applyBorder="1" applyAlignment="1">
      <alignment vertical="center"/>
    </xf>
    <xf numFmtId="0" fontId="12" fillId="0" borderId="4" xfId="3" applyFont="1" applyBorder="1" applyAlignment="1">
      <alignment horizontal="center" wrapText="1"/>
    </xf>
    <xf numFmtId="165" fontId="16" fillId="0" borderId="4" xfId="3" applyNumberFormat="1" applyFont="1" applyBorder="1"/>
    <xf numFmtId="165" fontId="12" fillId="0" borderId="4" xfId="3" applyNumberFormat="1" applyFont="1" applyBorder="1"/>
    <xf numFmtId="0" fontId="10" fillId="0" borderId="4" xfId="3" applyFont="1" applyBorder="1" applyAlignment="1">
      <alignment horizontal="center"/>
    </xf>
    <xf numFmtId="0" fontId="13" fillId="0" borderId="4" xfId="3" applyFont="1" applyBorder="1"/>
    <xf numFmtId="0" fontId="1" fillId="0" borderId="4" xfId="3" applyBorder="1" applyAlignment="1">
      <alignment wrapText="1"/>
    </xf>
    <xf numFmtId="1" fontId="12" fillId="0" borderId="4" xfId="3" applyNumberFormat="1" applyFont="1" applyBorder="1"/>
    <xf numFmtId="0" fontId="0" fillId="0" borderId="4" xfId="3" applyFont="1" applyBorder="1" applyAlignment="1">
      <alignment wrapText="1"/>
    </xf>
    <xf numFmtId="2" fontId="12" fillId="0" borderId="4" xfId="3" applyNumberFormat="1" applyFont="1" applyBorder="1"/>
    <xf numFmtId="164" fontId="3" fillId="0" borderId="4" xfId="2" applyNumberFormat="1" applyBorder="1" applyAlignment="1">
      <alignment horizontal="right" vertical="center"/>
    </xf>
    <xf numFmtId="0" fontId="3" fillId="0" borderId="4" xfId="2" applyBorder="1" applyAlignment="1">
      <alignment horizontal="left" vertical="center"/>
    </xf>
    <xf numFmtId="0" fontId="3" fillId="0" borderId="4" xfId="2" applyBorder="1" applyAlignment="1">
      <alignment horizontal="left" vertical="center" wrapText="1"/>
    </xf>
    <xf numFmtId="0" fontId="3" fillId="0" borderId="4" xfId="2" applyBorder="1" applyAlignment="1">
      <alignment horizontal="center" vertical="center"/>
    </xf>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2" fontId="16" fillId="0" borderId="4" xfId="3" applyNumberFormat="1" applyFont="1" applyBorder="1"/>
    <xf numFmtId="166" fontId="16" fillId="0" borderId="4" xfId="3" applyNumberFormat="1" applyFont="1" applyBorder="1"/>
    <xf numFmtId="166" fontId="12" fillId="0" borderId="4" xfId="3" applyNumberFormat="1" applyFont="1" applyBorder="1"/>
    <xf numFmtId="0" fontId="19" fillId="0" borderId="0" xfId="3" applyFont="1"/>
    <xf numFmtId="2" fontId="19" fillId="0" borderId="0" xfId="3" applyNumberFormat="1" applyFont="1"/>
    <xf numFmtId="166" fontId="19" fillId="0" borderId="0" xfId="3" applyNumberFormat="1" applyFont="1"/>
    <xf numFmtId="1" fontId="19" fillId="0" borderId="0" xfId="3" applyNumberFormat="1" applyFont="1"/>
    <xf numFmtId="0" fontId="20" fillId="0" borderId="0" xfId="2" applyFont="1"/>
    <xf numFmtId="0" fontId="21" fillId="0" borderId="0" xfId="2" applyFont="1"/>
    <xf numFmtId="0" fontId="4" fillId="0" borderId="0" xfId="3" applyFont="1"/>
    <xf numFmtId="0" fontId="13" fillId="0" borderId="0" xfId="3" applyFont="1"/>
    <xf numFmtId="0" fontId="13" fillId="0" borderId="4" xfId="3" applyFont="1" applyBorder="1" applyAlignment="1">
      <alignment wrapText="1"/>
    </xf>
    <xf numFmtId="0" fontId="22" fillId="0" borderId="0" xfId="3" applyFont="1"/>
    <xf numFmtId="2" fontId="0" fillId="0" borderId="0" xfId="3" applyNumberFormat="1" applyFont="1"/>
    <xf numFmtId="2" fontId="1" fillId="0" borderId="0" xfId="3" applyNumberFormat="1"/>
    <xf numFmtId="1" fontId="1" fillId="0" borderId="0" xfId="3" applyNumberFormat="1"/>
    <xf numFmtId="167" fontId="1" fillId="0" borderId="0" xfId="3" applyNumberFormat="1"/>
    <xf numFmtId="168" fontId="1" fillId="0" borderId="0" xfId="3" applyNumberFormat="1"/>
    <xf numFmtId="169" fontId="1" fillId="0" borderId="0" xfId="3" applyNumberFormat="1"/>
    <xf numFmtId="0" fontId="17" fillId="0" borderId="5" xfId="3" applyFont="1" applyBorder="1" applyAlignment="1">
      <alignment vertical="center"/>
    </xf>
    <xf numFmtId="0" fontId="15" fillId="0" borderId="5" xfId="3" applyFont="1" applyBorder="1" applyAlignment="1">
      <alignment vertical="center"/>
    </xf>
    <xf numFmtId="2" fontId="12" fillId="0" borderId="1" xfId="3" applyNumberFormat="1" applyFont="1" applyBorder="1" applyAlignment="1">
      <alignment horizontal="right" vertical="center"/>
    </xf>
    <xf numFmtId="0" fontId="5" fillId="2" borderId="1" xfId="2" applyFont="1" applyFill="1" applyBorder="1" applyAlignment="1">
      <alignment horizontal="center"/>
    </xf>
    <xf numFmtId="0" fontId="5" fillId="2" borderId="2" xfId="2" applyFont="1" applyFill="1" applyBorder="1" applyAlignment="1">
      <alignment horizontal="center"/>
    </xf>
    <xf numFmtId="0" fontId="5" fillId="2" borderId="3" xfId="2" applyFont="1" applyFill="1" applyBorder="1" applyAlignment="1">
      <alignment horizontal="center"/>
    </xf>
    <xf numFmtId="0" fontId="12" fillId="0" borderId="1" xfId="3" applyFont="1" applyBorder="1" applyAlignment="1">
      <alignment horizontal="center" vertical="center" wrapText="1"/>
    </xf>
    <xf numFmtId="0" fontId="12" fillId="0" borderId="3" xfId="3" applyFont="1" applyBorder="1" applyAlignment="1">
      <alignment horizontal="center" vertical="center" wrapText="1"/>
    </xf>
    <xf numFmtId="0" fontId="16" fillId="0" borderId="4" xfId="3" applyFont="1" applyBorder="1" applyAlignment="1">
      <alignment horizontal="center" vertical="center"/>
    </xf>
    <xf numFmtId="0" fontId="12" fillId="0" borderId="4" xfId="3" applyFont="1" applyBorder="1" applyAlignment="1">
      <alignment horizontal="center" vertical="center" wrapText="1"/>
    </xf>
    <xf numFmtId="0" fontId="12" fillId="0" borderId="4" xfId="3" applyFont="1" applyBorder="1" applyAlignment="1">
      <alignment horizontal="center" vertical="center"/>
    </xf>
    <xf numFmtId="0" fontId="0" fillId="0" borderId="5" xfId="3" applyFont="1" applyBorder="1" applyAlignment="1">
      <alignment horizontal="center" vertical="center" wrapText="1"/>
    </xf>
    <xf numFmtId="0" fontId="0" fillId="0" borderId="7" xfId="3" applyFont="1" applyBorder="1" applyAlignment="1">
      <alignment horizontal="center" vertical="center" wrapText="1"/>
    </xf>
    <xf numFmtId="0" fontId="12" fillId="0" borderId="2" xfId="3" applyFont="1" applyBorder="1" applyAlignment="1">
      <alignment horizontal="center" vertical="center"/>
    </xf>
    <xf numFmtId="0" fontId="17" fillId="0" borderId="5" xfId="3" applyFont="1" applyBorder="1" applyAlignment="1">
      <alignment horizontal="center" vertical="center"/>
    </xf>
    <xf numFmtId="0" fontId="17" fillId="0" borderId="6" xfId="3" applyFont="1" applyBorder="1" applyAlignment="1">
      <alignment horizontal="center" vertical="center"/>
    </xf>
    <xf numFmtId="0" fontId="17" fillId="0" borderId="7"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0" fontId="15" fillId="0" borderId="6" xfId="3" applyFont="1" applyBorder="1" applyAlignment="1">
      <alignment horizontal="center" vertical="center"/>
    </xf>
    <xf numFmtId="0" fontId="15" fillId="0" borderId="7" xfId="3" applyFont="1" applyBorder="1" applyAlignment="1">
      <alignment horizontal="center" vertical="center"/>
    </xf>
    <xf numFmtId="0" fontId="9" fillId="0" borderId="4" xfId="3" applyFont="1" applyBorder="1" applyAlignment="1">
      <alignment horizontal="center" vertical="center" wrapText="1"/>
    </xf>
    <xf numFmtId="0" fontId="17" fillId="0" borderId="4" xfId="3" applyFont="1" applyBorder="1" applyAlignment="1">
      <alignment horizontal="center" vertical="center"/>
    </xf>
    <xf numFmtId="0" fontId="12" fillId="0" borderId="2" xfId="3" applyFont="1" applyBorder="1" applyAlignment="1">
      <alignment horizontal="center" vertical="center" wrapText="1"/>
    </xf>
    <xf numFmtId="0" fontId="12" fillId="0" borderId="3" xfId="3" applyFont="1" applyBorder="1" applyAlignment="1">
      <alignment horizontal="center" vertical="center"/>
    </xf>
    <xf numFmtId="0" fontId="10" fillId="0" borderId="1"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1" xfId="3" applyFont="1" applyBorder="1" applyAlignment="1">
      <alignment horizontal="center" vertical="center"/>
    </xf>
    <xf numFmtId="0" fontId="10" fillId="0" borderId="3" xfId="3" applyFont="1" applyBorder="1" applyAlignment="1">
      <alignment horizontal="center" vertical="center"/>
    </xf>
    <xf numFmtId="0" fontId="9" fillId="0" borderId="4" xfId="3" applyFont="1" applyBorder="1" applyAlignment="1">
      <alignment horizontal="center" vertical="center"/>
    </xf>
    <xf numFmtId="0" fontId="9" fillId="0" borderId="5"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 fillId="0" borderId="5" xfId="3" applyBorder="1" applyAlignment="1">
      <alignment horizontal="center" vertical="center"/>
    </xf>
    <xf numFmtId="0" fontId="1" fillId="0" borderId="6" xfId="3" applyBorder="1" applyAlignment="1">
      <alignment horizontal="center" vertical="center"/>
    </xf>
    <xf numFmtId="0" fontId="1" fillId="0" borderId="7" xfId="3" applyBorder="1" applyAlignment="1">
      <alignment horizontal="center" vertical="center"/>
    </xf>
    <xf numFmtId="0" fontId="1" fillId="0" borderId="4" xfId="3" applyBorder="1" applyAlignment="1">
      <alignment horizontal="center" vertical="center"/>
    </xf>
  </cellXfs>
  <cellStyles count="4">
    <cellStyle name="Normal" xfId="0" builtinId="0"/>
    <cellStyle name="Normal 2" xfId="1" xr:uid="{00000000-0005-0000-0000-000001000000}"/>
    <cellStyle name="Normal 2 2"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7"/>
  <sheetViews>
    <sheetView workbookViewId="0">
      <selection activeCell="B36" sqref="B36"/>
    </sheetView>
  </sheetViews>
  <sheetFormatPr defaultColWidth="9.140625" defaultRowHeight="15"/>
  <cols>
    <col min="1" max="1" width="5.28515625" style="2" customWidth="1"/>
    <col min="2" max="2" width="29.140625" style="2" bestFit="1" customWidth="1"/>
    <col min="3" max="3" width="9.140625" style="2"/>
    <col min="4" max="4" width="19.7109375" style="2" customWidth="1"/>
    <col min="5" max="5" width="46" style="2" customWidth="1"/>
    <col min="6" max="16384" width="9.140625" style="2"/>
  </cols>
  <sheetData>
    <row r="2" spans="2:13" ht="26.25">
      <c r="B2" s="1" t="s">
        <v>0</v>
      </c>
    </row>
    <row r="3" spans="2:13" ht="18">
      <c r="B3" s="10" t="s">
        <v>1</v>
      </c>
      <c r="G3" s="66" t="s">
        <v>2</v>
      </c>
      <c r="H3" s="66">
        <v>10.008627199999999</v>
      </c>
      <c r="I3" s="66" t="s">
        <v>3</v>
      </c>
      <c r="J3" s="67"/>
      <c r="K3" s="67"/>
      <c r="L3" s="67"/>
      <c r="M3" s="67"/>
    </row>
    <row r="4" spans="2:13" ht="15.75">
      <c r="B4" s="10"/>
      <c r="G4" s="67"/>
      <c r="H4" s="67"/>
      <c r="I4" s="67"/>
      <c r="J4" s="67"/>
      <c r="K4" s="67"/>
      <c r="L4" s="67"/>
      <c r="M4" s="67"/>
    </row>
    <row r="5" spans="2:13">
      <c r="B5" s="3"/>
      <c r="G5" s="66" t="s">
        <v>4</v>
      </c>
      <c r="H5" s="67"/>
      <c r="I5" s="67"/>
      <c r="J5" s="67"/>
      <c r="K5" s="67"/>
      <c r="L5" s="67"/>
      <c r="M5" s="67"/>
    </row>
    <row r="6" spans="2:13" ht="21">
      <c r="B6" s="81" t="s">
        <v>5</v>
      </c>
      <c r="C6" s="82"/>
      <c r="D6" s="82"/>
      <c r="E6" s="83"/>
      <c r="G6" s="66" t="s">
        <v>6</v>
      </c>
      <c r="H6" s="67"/>
      <c r="I6" s="67"/>
      <c r="J6" s="67"/>
      <c r="K6" s="67"/>
      <c r="L6" s="67"/>
      <c r="M6" s="67"/>
    </row>
    <row r="7" spans="2:13" ht="15.75">
      <c r="B7" s="4" t="s">
        <v>7</v>
      </c>
      <c r="C7" s="4" t="s">
        <v>8</v>
      </c>
      <c r="D7" s="4" t="s">
        <v>9</v>
      </c>
      <c r="E7" s="4" t="s">
        <v>10</v>
      </c>
    </row>
    <row r="8" spans="2:13" ht="45">
      <c r="B8" s="5">
        <v>45380</v>
      </c>
      <c r="C8" s="9">
        <v>0</v>
      </c>
      <c r="D8" s="7" t="s">
        <v>11</v>
      </c>
      <c r="E8" s="8" t="s">
        <v>12</v>
      </c>
    </row>
    <row r="9" spans="2:13">
      <c r="B9" s="5">
        <v>45382</v>
      </c>
      <c r="C9" s="6">
        <v>0.1</v>
      </c>
      <c r="D9" s="7" t="s">
        <v>11</v>
      </c>
      <c r="E9" s="8" t="s">
        <v>13</v>
      </c>
    </row>
    <row r="10" spans="2:13" ht="30">
      <c r="B10" s="5">
        <v>45389</v>
      </c>
      <c r="C10" s="6">
        <v>0.2</v>
      </c>
      <c r="D10" s="7" t="s">
        <v>11</v>
      </c>
      <c r="E10" s="8" t="s">
        <v>14</v>
      </c>
    </row>
    <row r="11" spans="2:13" ht="45">
      <c r="B11" s="5">
        <v>45440</v>
      </c>
      <c r="C11" s="9">
        <v>1</v>
      </c>
      <c r="D11" s="7" t="s">
        <v>11</v>
      </c>
      <c r="E11" s="8" t="s">
        <v>15</v>
      </c>
    </row>
    <row r="12" spans="2:13" ht="60">
      <c r="B12" s="5">
        <v>45441</v>
      </c>
      <c r="C12" s="6">
        <v>1.1000000000000001</v>
      </c>
      <c r="D12" s="7" t="s">
        <v>11</v>
      </c>
      <c r="E12" s="8" t="s">
        <v>16</v>
      </c>
    </row>
    <row r="13" spans="2:13" ht="30">
      <c r="B13" s="52">
        <v>45442</v>
      </c>
      <c r="C13" s="55">
        <v>1.2</v>
      </c>
      <c r="D13" s="53" t="s">
        <v>17</v>
      </c>
      <c r="E13" s="54" t="s">
        <v>18</v>
      </c>
    </row>
    <row r="14" spans="2:13" ht="60">
      <c r="B14" s="5">
        <v>45444</v>
      </c>
      <c r="C14" s="6">
        <v>1.3</v>
      </c>
      <c r="D14" s="7" t="s">
        <v>11</v>
      </c>
      <c r="E14" s="8" t="s">
        <v>19</v>
      </c>
    </row>
    <row r="15" spans="2:13" ht="30">
      <c r="B15" s="5">
        <v>45445</v>
      </c>
      <c r="C15" s="6">
        <v>1.4</v>
      </c>
      <c r="D15" s="7" t="s">
        <v>11</v>
      </c>
      <c r="E15" s="8" t="s">
        <v>20</v>
      </c>
    </row>
    <row r="16" spans="2:13">
      <c r="B16" s="5">
        <v>45451</v>
      </c>
      <c r="C16" s="6">
        <v>1.5</v>
      </c>
      <c r="D16" s="7" t="s">
        <v>11</v>
      </c>
      <c r="E16" s="8" t="s">
        <v>21</v>
      </c>
    </row>
    <row r="17" spans="2:5" ht="30">
      <c r="B17" s="5">
        <v>45454</v>
      </c>
      <c r="C17" s="6">
        <v>1.6</v>
      </c>
      <c r="D17" s="7" t="s">
        <v>17</v>
      </c>
      <c r="E17" s="54" t="s">
        <v>22</v>
      </c>
    </row>
    <row r="18" spans="2:5">
      <c r="B18" s="5">
        <v>45496</v>
      </c>
      <c r="C18" s="6">
        <v>1.7</v>
      </c>
      <c r="D18" s="7" t="s">
        <v>17</v>
      </c>
      <c r="E18" s="8" t="s">
        <v>23</v>
      </c>
    </row>
    <row r="19" spans="2:5" ht="75">
      <c r="B19" s="5">
        <v>45599</v>
      </c>
      <c r="C19" s="6">
        <v>1.8</v>
      </c>
      <c r="D19" s="7" t="s">
        <v>11</v>
      </c>
      <c r="E19" s="8" t="s">
        <v>24</v>
      </c>
    </row>
    <row r="20" spans="2:5" ht="75">
      <c r="B20" s="5">
        <v>45601</v>
      </c>
      <c r="C20" s="6">
        <v>1.9</v>
      </c>
      <c r="D20" s="7" t="s">
        <v>11</v>
      </c>
      <c r="E20" s="8" t="s">
        <v>25</v>
      </c>
    </row>
    <row r="21" spans="2:5" ht="30">
      <c r="B21" s="5">
        <v>45603</v>
      </c>
      <c r="C21" s="9">
        <v>2</v>
      </c>
      <c r="D21" s="7" t="s">
        <v>11</v>
      </c>
      <c r="E21" s="8" t="s">
        <v>26</v>
      </c>
    </row>
    <row r="22" spans="2:5">
      <c r="B22" s="5">
        <v>45606</v>
      </c>
      <c r="C22" s="6">
        <v>2.1</v>
      </c>
      <c r="D22" s="7" t="s">
        <v>11</v>
      </c>
      <c r="E22" s="8" t="s">
        <v>27</v>
      </c>
    </row>
    <row r="23" spans="2:5" ht="30">
      <c r="B23" s="5">
        <v>45613</v>
      </c>
      <c r="C23" s="6">
        <v>2.2000000000000002</v>
      </c>
      <c r="D23" s="7" t="s">
        <v>11</v>
      </c>
      <c r="E23" s="8" t="s">
        <v>28</v>
      </c>
    </row>
    <row r="24" spans="2:5">
      <c r="B24" s="5">
        <v>45621</v>
      </c>
      <c r="C24" s="6">
        <v>2.2999999999999998</v>
      </c>
      <c r="D24" s="7" t="s">
        <v>11</v>
      </c>
      <c r="E24" s="8" t="s">
        <v>29</v>
      </c>
    </row>
    <row r="25" spans="2:5">
      <c r="B25" s="5">
        <v>45622</v>
      </c>
      <c r="C25" s="6">
        <v>2.4</v>
      </c>
      <c r="D25" s="7" t="s">
        <v>11</v>
      </c>
      <c r="E25" s="8" t="s">
        <v>30</v>
      </c>
    </row>
    <row r="26" spans="2:5" ht="30">
      <c r="B26" s="5">
        <v>45624</v>
      </c>
      <c r="C26" s="6">
        <v>2.5</v>
      </c>
      <c r="D26" s="7" t="s">
        <v>11</v>
      </c>
      <c r="E26" s="8" t="s">
        <v>31</v>
      </c>
    </row>
    <row r="27" spans="2:5" ht="30">
      <c r="B27" s="5">
        <v>45628</v>
      </c>
      <c r="C27" s="6">
        <v>2.6</v>
      </c>
      <c r="D27" s="7" t="s">
        <v>11</v>
      </c>
      <c r="E27" s="8" t="s">
        <v>32</v>
      </c>
    </row>
    <row r="28" spans="2:5" ht="60">
      <c r="B28" s="5">
        <v>45633</v>
      </c>
      <c r="C28" s="6">
        <v>2.7</v>
      </c>
      <c r="D28" s="7" t="s">
        <v>11</v>
      </c>
      <c r="E28" s="8" t="s">
        <v>33</v>
      </c>
    </row>
    <row r="29" spans="2:5" ht="45">
      <c r="B29" s="5">
        <v>45683</v>
      </c>
      <c r="C29" s="6">
        <v>2.8</v>
      </c>
      <c r="D29" s="7" t="s">
        <v>11</v>
      </c>
      <c r="E29" s="8" t="s">
        <v>34</v>
      </c>
    </row>
    <row r="30" spans="2:5">
      <c r="B30" s="5">
        <v>45686</v>
      </c>
      <c r="C30" s="6">
        <v>2.9</v>
      </c>
      <c r="D30" s="7" t="s">
        <v>11</v>
      </c>
      <c r="E30" s="8" t="s">
        <v>35</v>
      </c>
    </row>
    <row r="31" spans="2:5">
      <c r="B31" s="5">
        <v>45699</v>
      </c>
      <c r="C31" s="9">
        <v>3</v>
      </c>
      <c r="D31" s="7" t="s">
        <v>11</v>
      </c>
      <c r="E31" s="8" t="s">
        <v>36</v>
      </c>
    </row>
    <row r="32" spans="2:5" ht="45">
      <c r="B32" s="5">
        <v>45708</v>
      </c>
      <c r="C32" s="6">
        <v>3.1</v>
      </c>
      <c r="D32" s="7" t="s">
        <v>11</v>
      </c>
      <c r="E32" s="8" t="s">
        <v>37</v>
      </c>
    </row>
    <row r="33" spans="2:5" ht="60">
      <c r="B33" s="5">
        <v>45711</v>
      </c>
      <c r="C33" s="6">
        <v>3.2</v>
      </c>
      <c r="D33" s="7" t="s">
        <v>11</v>
      </c>
      <c r="E33" s="8" t="s">
        <v>38</v>
      </c>
    </row>
    <row r="34" spans="2:5" ht="30">
      <c r="B34" s="5">
        <v>45724</v>
      </c>
      <c r="C34" s="6">
        <v>3.3</v>
      </c>
      <c r="D34" s="7" t="s">
        <v>11</v>
      </c>
      <c r="E34" s="8" t="s">
        <v>39</v>
      </c>
    </row>
    <row r="35" spans="2:5" ht="30">
      <c r="B35" s="5">
        <v>45731</v>
      </c>
      <c r="C35" s="6">
        <v>3.4</v>
      </c>
      <c r="D35" s="7" t="s">
        <v>11</v>
      </c>
      <c r="E35" s="8" t="s">
        <v>40</v>
      </c>
    </row>
    <row r="36" spans="2:5">
      <c r="B36" s="5"/>
      <c r="C36" s="6"/>
      <c r="D36" s="7"/>
      <c r="E36" s="8"/>
    </row>
    <row r="37" spans="2:5">
      <c r="B37" s="5"/>
      <c r="C37" s="6"/>
      <c r="D37" s="7"/>
      <c r="E37" s="8"/>
    </row>
    <row r="38" spans="2:5">
      <c r="B38" s="5"/>
      <c r="C38" s="6"/>
      <c r="D38" s="7"/>
      <c r="E38" s="8"/>
    </row>
    <row r="39" spans="2:5">
      <c r="B39" s="5"/>
      <c r="C39" s="6"/>
      <c r="D39" s="7"/>
      <c r="E39" s="8"/>
    </row>
    <row r="40" spans="2:5">
      <c r="B40" s="5"/>
      <c r="C40" s="6"/>
      <c r="D40" s="7"/>
      <c r="E40" s="8"/>
    </row>
    <row r="41" spans="2:5">
      <c r="B41" s="5"/>
      <c r="C41" s="6"/>
      <c r="D41" s="7"/>
      <c r="E41" s="8"/>
    </row>
    <row r="42" spans="2:5">
      <c r="B42" s="5"/>
      <c r="C42" s="6"/>
      <c r="D42" s="7"/>
      <c r="E42" s="8"/>
    </row>
    <row r="43" spans="2:5">
      <c r="B43" s="5"/>
      <c r="C43" s="6"/>
      <c r="D43" s="7"/>
      <c r="E43" s="8"/>
    </row>
    <row r="44" spans="2:5">
      <c r="B44" s="5"/>
      <c r="C44" s="6"/>
      <c r="D44" s="7"/>
      <c r="E44" s="8"/>
    </row>
    <row r="45" spans="2:5">
      <c r="B45" s="5"/>
      <c r="C45" s="6"/>
      <c r="D45" s="7"/>
      <c r="E45" s="8"/>
    </row>
    <row r="46" spans="2:5">
      <c r="B46" s="5"/>
      <c r="C46" s="6"/>
      <c r="D46" s="7"/>
      <c r="E46" s="8"/>
    </row>
    <row r="47" spans="2:5">
      <c r="B47" s="5"/>
      <c r="C47" s="6"/>
      <c r="D47" s="7"/>
      <c r="E47" s="8"/>
    </row>
    <row r="48" spans="2:5">
      <c r="B48" s="5"/>
      <c r="C48" s="6"/>
      <c r="D48" s="7"/>
      <c r="E48" s="8"/>
    </row>
    <row r="49" spans="2:5">
      <c r="B49" s="5"/>
      <c r="C49" s="6"/>
      <c r="D49" s="7"/>
      <c r="E49" s="8"/>
    </row>
    <row r="50" spans="2:5">
      <c r="B50" s="5"/>
      <c r="C50" s="6"/>
      <c r="D50" s="7"/>
      <c r="E50" s="8"/>
    </row>
    <row r="51" spans="2:5">
      <c r="B51" s="5"/>
      <c r="C51" s="6"/>
      <c r="D51" s="7"/>
      <c r="E51" s="8"/>
    </row>
    <row r="52" spans="2:5">
      <c r="B52" s="5"/>
      <c r="C52" s="6"/>
      <c r="D52" s="7"/>
      <c r="E52" s="8"/>
    </row>
    <row r="53" spans="2:5">
      <c r="B53" s="5"/>
      <c r="C53" s="6"/>
      <c r="D53" s="7"/>
      <c r="E53" s="8"/>
    </row>
    <row r="54" spans="2:5">
      <c r="B54" s="5"/>
      <c r="C54" s="9"/>
      <c r="D54" s="7"/>
      <c r="E54" s="8"/>
    </row>
    <row r="55" spans="2:5">
      <c r="B55" s="5"/>
      <c r="C55" s="9"/>
      <c r="D55" s="7"/>
      <c r="E55" s="8"/>
    </row>
    <row r="56" spans="2:5">
      <c r="B56" s="5"/>
      <c r="C56" s="9"/>
      <c r="D56" s="7"/>
      <c r="E56" s="8"/>
    </row>
    <row r="57" spans="2:5">
      <c r="B57" s="5"/>
      <c r="C57" s="9"/>
      <c r="D57" s="7"/>
      <c r="E57" s="8"/>
    </row>
  </sheetData>
  <mergeCells count="1">
    <mergeCell ref="B6:E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N27"/>
  <sheetViews>
    <sheetView topLeftCell="A7" zoomScaleNormal="100" workbookViewId="0">
      <selection activeCell="G8" sqref="G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52.7109375" style="15" customWidth="1"/>
    <col min="6" max="7" width="10.7109375" style="15" customWidth="1"/>
    <col min="8" max="8" width="16.7109375" style="15" customWidth="1"/>
    <col min="9" max="9" width="19.85546875" style="15" customWidth="1"/>
    <col min="10" max="10" width="53.42578125" style="15" customWidth="1"/>
    <col min="11" max="12" width="22" style="15" customWidth="1"/>
    <col min="13" max="14" width="17.7109375" style="15" customWidth="1"/>
    <col min="15" max="16384" width="9.140625" style="15"/>
  </cols>
  <sheetData>
    <row r="4" spans="2:14">
      <c r="F4" s="40"/>
    </row>
    <row r="5" spans="2:14" ht="56.25">
      <c r="B5" s="35" t="s">
        <v>46</v>
      </c>
      <c r="C5" s="36" t="s">
        <v>79</v>
      </c>
      <c r="D5" s="36" t="s">
        <v>80</v>
      </c>
      <c r="E5" s="37" t="s">
        <v>47</v>
      </c>
      <c r="F5" s="84" t="s">
        <v>113</v>
      </c>
      <c r="G5" s="91"/>
      <c r="H5" s="36" t="s">
        <v>114</v>
      </c>
      <c r="I5" s="42" t="s">
        <v>49</v>
      </c>
      <c r="J5" s="42" t="s">
        <v>50</v>
      </c>
      <c r="K5" s="35" t="s">
        <v>115</v>
      </c>
      <c r="L5" s="35" t="s">
        <v>116</v>
      </c>
      <c r="M5" s="35" t="s">
        <v>117</v>
      </c>
      <c r="N5" s="35" t="s">
        <v>118</v>
      </c>
    </row>
    <row r="6" spans="2:14" ht="21">
      <c r="B6" s="35"/>
      <c r="C6" s="36"/>
      <c r="D6" s="36"/>
      <c r="E6" s="37"/>
      <c r="F6" s="37" t="s">
        <v>51</v>
      </c>
      <c r="G6" s="35" t="s">
        <v>52</v>
      </c>
      <c r="H6" s="37"/>
      <c r="I6" s="42"/>
      <c r="J6" s="48"/>
      <c r="K6" s="28"/>
      <c r="L6" s="28"/>
      <c r="M6" s="28"/>
      <c r="N6" s="28"/>
    </row>
    <row r="7" spans="2:14" ht="18.75" customHeight="1">
      <c r="B7" s="92" t="s">
        <v>119</v>
      </c>
      <c r="C7" s="96">
        <v>0.1</v>
      </c>
      <c r="D7" s="96">
        <v>0.1026</v>
      </c>
      <c r="E7" s="38" t="s">
        <v>120</v>
      </c>
      <c r="F7" s="44">
        <v>0</v>
      </c>
      <c r="G7" s="45">
        <v>173.70699999999999</v>
      </c>
      <c r="H7" s="45">
        <f>G7/D$7</f>
        <v>1693.0506822612085</v>
      </c>
      <c r="I7" s="46">
        <v>1</v>
      </c>
      <c r="J7" s="28"/>
      <c r="K7" s="44">
        <f>F7/C$7</f>
        <v>0</v>
      </c>
      <c r="L7" s="45">
        <f>G7/C$7</f>
        <v>1737.07</v>
      </c>
      <c r="M7" s="51">
        <f>K7/Info!H$3</f>
        <v>0</v>
      </c>
      <c r="N7" s="51">
        <f>L7/Info!H$3</f>
        <v>173.55726867317028</v>
      </c>
    </row>
    <row r="8" spans="2:14" ht="18.75" customHeight="1">
      <c r="B8" s="93"/>
      <c r="C8" s="97"/>
      <c r="D8" s="97"/>
      <c r="E8" s="39" t="s">
        <v>121</v>
      </c>
      <c r="F8" s="44">
        <v>0</v>
      </c>
      <c r="G8" s="45">
        <v>192.03</v>
      </c>
      <c r="H8" s="45">
        <f t="shared" ref="H8:H12" si="0">G8/D$7</f>
        <v>1871.6374269005848</v>
      </c>
      <c r="I8" s="46">
        <v>1</v>
      </c>
      <c r="J8" s="28"/>
      <c r="K8" s="44">
        <f t="shared" ref="K8:K10" si="1">F8/C$7</f>
        <v>0</v>
      </c>
      <c r="L8" s="45">
        <f t="shared" ref="L8:L10" si="2">G8/C$7</f>
        <v>1920.3</v>
      </c>
      <c r="M8" s="51">
        <f>K8/Info!H$3</f>
        <v>0</v>
      </c>
      <c r="N8" s="51">
        <f>L8/Info!H$3</f>
        <v>191.86447468040373</v>
      </c>
    </row>
    <row r="9" spans="2:14" ht="30.75" customHeight="1">
      <c r="B9" s="93"/>
      <c r="C9" s="97"/>
      <c r="D9" s="97"/>
      <c r="E9" s="39" t="s">
        <v>122</v>
      </c>
      <c r="F9" s="44">
        <v>0</v>
      </c>
      <c r="G9" s="45">
        <v>210.60400000000001</v>
      </c>
      <c r="H9" s="45">
        <f t="shared" si="0"/>
        <v>2052.6705653021445</v>
      </c>
      <c r="I9" s="46">
        <v>1</v>
      </c>
      <c r="J9" s="28" t="s">
        <v>123</v>
      </c>
      <c r="K9" s="44">
        <f t="shared" si="1"/>
        <v>0</v>
      </c>
      <c r="L9" s="45">
        <f t="shared" si="2"/>
        <v>2106.04</v>
      </c>
      <c r="M9" s="51">
        <f>K9/Info!H$3</f>
        <v>0</v>
      </c>
      <c r="N9" s="51">
        <f>L9/Info!H$3</f>
        <v>210.42246433157189</v>
      </c>
    </row>
    <row r="10" spans="2:14" ht="33" customHeight="1">
      <c r="B10" s="93"/>
      <c r="C10" s="97"/>
      <c r="D10" s="97"/>
      <c r="E10" s="39" t="s">
        <v>124</v>
      </c>
      <c r="F10" s="44">
        <v>0</v>
      </c>
      <c r="G10" s="45">
        <v>240.2</v>
      </c>
      <c r="H10" s="45">
        <f t="shared" si="0"/>
        <v>2341.1306042884989</v>
      </c>
      <c r="I10" s="46">
        <v>2</v>
      </c>
      <c r="J10" s="50" t="s">
        <v>125</v>
      </c>
      <c r="K10" s="44">
        <f t="shared" si="1"/>
        <v>0</v>
      </c>
      <c r="L10" s="45">
        <f t="shared" si="2"/>
        <v>2401.9999999999995</v>
      </c>
      <c r="M10" s="51">
        <f>K10/Info!H$3</f>
        <v>0</v>
      </c>
      <c r="N10" s="51">
        <f>L10/Info!H$3</f>
        <v>239.99295327934681</v>
      </c>
    </row>
    <row r="11" spans="2:14" ht="30.75">
      <c r="B11" s="93"/>
      <c r="C11" s="97"/>
      <c r="D11" s="97"/>
      <c r="E11" s="50" t="s">
        <v>126</v>
      </c>
      <c r="F11" s="44">
        <v>0</v>
      </c>
      <c r="G11" s="45">
        <v>338.5</v>
      </c>
      <c r="H11" s="45">
        <f t="shared" si="0"/>
        <v>3299.2202729044834</v>
      </c>
      <c r="I11" s="46">
        <v>3</v>
      </c>
      <c r="J11" s="50" t="s">
        <v>127</v>
      </c>
      <c r="K11" s="44">
        <f t="shared" ref="K11:K12" si="3">F11/C$7</f>
        <v>0</v>
      </c>
      <c r="L11" s="45">
        <f t="shared" ref="L11:L12" si="4">G11/C$7</f>
        <v>3385</v>
      </c>
      <c r="M11" s="51">
        <f>K11/Info!H$3</f>
        <v>0</v>
      </c>
      <c r="N11" s="51">
        <f>L11/Info!H$3</f>
        <v>338.20822100357583</v>
      </c>
    </row>
    <row r="12" spans="2:14" ht="30.75">
      <c r="B12" s="93"/>
      <c r="C12" s="97"/>
      <c r="D12" s="97"/>
      <c r="E12" s="50" t="s">
        <v>128</v>
      </c>
      <c r="F12" s="44">
        <v>0</v>
      </c>
      <c r="G12" s="45">
        <v>366.95</v>
      </c>
      <c r="H12" s="45">
        <f t="shared" si="0"/>
        <v>3576.5107212475632</v>
      </c>
      <c r="I12" s="46">
        <v>4</v>
      </c>
      <c r="J12" s="50" t="s">
        <v>127</v>
      </c>
      <c r="K12" s="44">
        <f t="shared" si="3"/>
        <v>0</v>
      </c>
      <c r="L12" s="45">
        <f t="shared" si="4"/>
        <v>3669.4999999999995</v>
      </c>
      <c r="M12" s="51"/>
      <c r="N12" s="51"/>
    </row>
    <row r="13" spans="2:14" ht="30.75">
      <c r="B13" s="94"/>
      <c r="C13" s="98"/>
      <c r="D13" s="98"/>
      <c r="E13" s="50" t="s">
        <v>129</v>
      </c>
      <c r="F13" s="44">
        <v>0</v>
      </c>
      <c r="G13" s="45">
        <f>G12*(D7+0.018)/D7</f>
        <v>431.3271929824561</v>
      </c>
      <c r="H13" s="45">
        <f t="shared" ref="H13" si="5">G13/D$7</f>
        <v>4203.968742519065</v>
      </c>
      <c r="I13" s="46">
        <v>5</v>
      </c>
      <c r="J13" s="41" t="s">
        <v>130</v>
      </c>
      <c r="K13" s="44">
        <f t="shared" ref="K13" si="6">F13/C$7</f>
        <v>0</v>
      </c>
      <c r="L13" s="45">
        <f t="shared" ref="L13" si="7">G13/C$7</f>
        <v>4313.2719298245611</v>
      </c>
      <c r="M13" s="51">
        <f>K13/Info!H$3</f>
        <v>0</v>
      </c>
      <c r="N13" s="51">
        <f>L13/Info!H$3</f>
        <v>430.95539914050966</v>
      </c>
    </row>
    <row r="17" spans="4:9">
      <c r="D17" s="56" t="s">
        <v>131</v>
      </c>
      <c r="E17" s="56"/>
    </row>
    <row r="18" spans="4:9">
      <c r="D18" s="56" t="s">
        <v>132</v>
      </c>
      <c r="E18" s="56" t="s">
        <v>133</v>
      </c>
      <c r="H18" s="56"/>
      <c r="I18" s="56"/>
    </row>
    <row r="19" spans="4:9">
      <c r="D19" s="56">
        <v>0</v>
      </c>
      <c r="E19" s="56">
        <v>1.3205352050000001</v>
      </c>
      <c r="H19" s="56"/>
      <c r="I19" s="56"/>
    </row>
    <row r="20" spans="4:9">
      <c r="D20" s="56">
        <v>18.638670000000001</v>
      </c>
      <c r="E20" s="56">
        <v>48.828032460000003</v>
      </c>
      <c r="H20" s="56"/>
      <c r="I20" s="56"/>
    </row>
    <row r="21" spans="4:9">
      <c r="D21" s="56">
        <v>37.286619999999999</v>
      </c>
      <c r="E21" s="56">
        <v>96.042909750000007</v>
      </c>
      <c r="H21" s="56"/>
      <c r="I21" s="56"/>
    </row>
    <row r="22" spans="4:9">
      <c r="D22" s="56">
        <v>55.938049999999997</v>
      </c>
      <c r="E22" s="56">
        <v>142.47481060000001</v>
      </c>
      <c r="H22" s="56"/>
      <c r="I22" s="56"/>
    </row>
    <row r="23" spans="4:9">
      <c r="D23" s="56">
        <v>74.584919999999997</v>
      </c>
      <c r="E23" s="56">
        <v>182.07576420000001</v>
      </c>
      <c r="H23" s="56"/>
      <c r="I23" s="56"/>
    </row>
    <row r="24" spans="4:9">
      <c r="D24" s="56">
        <v>82.046189999999996</v>
      </c>
      <c r="E24" s="56">
        <v>192.0789259</v>
      </c>
      <c r="H24" s="56"/>
      <c r="I24" s="56"/>
    </row>
    <row r="25" spans="4:9">
      <c r="H25" s="56"/>
      <c r="I25" s="56"/>
    </row>
    <row r="26" spans="4:9">
      <c r="H26" s="56"/>
      <c r="I26" s="56"/>
    </row>
    <row r="27" spans="4:9">
      <c r="H27" s="56"/>
      <c r="I27" s="56"/>
    </row>
  </sheetData>
  <mergeCells count="4">
    <mergeCell ref="F5:G5"/>
    <mergeCell ref="B7:B13"/>
    <mergeCell ref="C7:C13"/>
    <mergeCell ref="D7:D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N17"/>
  <sheetViews>
    <sheetView topLeftCell="A4" zoomScaleNormal="100" workbookViewId="0">
      <selection activeCell="G12" sqref="G12"/>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8.7109375" style="15" customWidth="1"/>
    <col min="13" max="14" width="15" style="15" customWidth="1"/>
    <col min="15" max="16384" width="9.140625" style="15"/>
  </cols>
  <sheetData>
    <row r="4" spans="2:14">
      <c r="F4" s="40"/>
    </row>
    <row r="5" spans="2:14" ht="75">
      <c r="B5" s="35" t="s">
        <v>46</v>
      </c>
      <c r="C5" s="36" t="s">
        <v>79</v>
      </c>
      <c r="D5" s="36" t="s">
        <v>80</v>
      </c>
      <c r="E5" s="37" t="s">
        <v>47</v>
      </c>
      <c r="F5" s="84" t="s">
        <v>113</v>
      </c>
      <c r="G5" s="91"/>
      <c r="H5" s="36" t="s">
        <v>114</v>
      </c>
      <c r="I5" s="42" t="s">
        <v>49</v>
      </c>
      <c r="J5" s="42" t="s">
        <v>50</v>
      </c>
      <c r="K5" s="35" t="s">
        <v>115</v>
      </c>
      <c r="L5" s="35" t="s">
        <v>116</v>
      </c>
      <c r="M5" s="35" t="s">
        <v>117</v>
      </c>
      <c r="N5" s="35" t="s">
        <v>118</v>
      </c>
    </row>
    <row r="6" spans="2:14" ht="21">
      <c r="B6" s="35"/>
      <c r="C6" s="36"/>
      <c r="D6" s="36"/>
      <c r="E6" s="37"/>
      <c r="F6" s="37" t="s">
        <v>51</v>
      </c>
      <c r="G6" s="35" t="s">
        <v>52</v>
      </c>
      <c r="H6" s="37"/>
      <c r="I6" s="42"/>
      <c r="J6" s="48"/>
      <c r="K6" s="28"/>
      <c r="L6" s="28"/>
      <c r="M6" s="28"/>
      <c r="N6" s="28"/>
    </row>
    <row r="7" spans="2:14" ht="18.75" customHeight="1">
      <c r="B7" s="99" t="s">
        <v>134</v>
      </c>
      <c r="C7" s="95">
        <v>0.1</v>
      </c>
      <c r="D7" s="95">
        <v>0.10299999999999999</v>
      </c>
      <c r="E7" s="38" t="s">
        <v>120</v>
      </c>
      <c r="F7" s="44">
        <v>0</v>
      </c>
      <c r="G7" s="45">
        <v>171.547</v>
      </c>
      <c r="H7" s="49">
        <f>G7/D$7</f>
        <v>1665.504854368932</v>
      </c>
      <c r="I7" s="46">
        <v>1</v>
      </c>
      <c r="J7" s="28"/>
      <c r="K7" s="44">
        <f>F7/C$7</f>
        <v>0</v>
      </c>
      <c r="L7" s="45">
        <f>G7/C$7</f>
        <v>1715.4699999999998</v>
      </c>
      <c r="M7" s="51">
        <f>K7/Info!H$3</f>
        <v>0</v>
      </c>
      <c r="N7" s="51">
        <f>L7/Info!H$3</f>
        <v>171.3991305420987</v>
      </c>
    </row>
    <row r="8" spans="2:14" ht="18.75" customHeight="1">
      <c r="B8" s="99"/>
      <c r="C8" s="95"/>
      <c r="D8" s="95"/>
      <c r="E8" s="39" t="s">
        <v>121</v>
      </c>
      <c r="F8" s="44">
        <v>0</v>
      </c>
      <c r="G8" s="45">
        <v>190.17500000000001</v>
      </c>
      <c r="H8" s="49">
        <f t="shared" ref="H8:H12" si="0">G8/D$7</f>
        <v>1846.3592233009711</v>
      </c>
      <c r="I8" s="46">
        <v>1</v>
      </c>
      <c r="J8" s="28"/>
      <c r="K8" s="44">
        <f t="shared" ref="K8:K10" si="1">F8/C$7</f>
        <v>0</v>
      </c>
      <c r="L8" s="45">
        <f t="shared" ref="L8:L10" si="2">G8/C$7</f>
        <v>1901.75</v>
      </c>
      <c r="M8" s="51">
        <f>K8/Info!H$3</f>
        <v>0</v>
      </c>
      <c r="N8" s="51">
        <f>L8/Info!H$3</f>
        <v>190.01107364654368</v>
      </c>
    </row>
    <row r="9" spans="2:14" ht="30.75">
      <c r="B9" s="99"/>
      <c r="C9" s="95"/>
      <c r="D9" s="95"/>
      <c r="E9" s="39" t="s">
        <v>122</v>
      </c>
      <c r="F9" s="44">
        <v>0</v>
      </c>
      <c r="G9" s="45">
        <v>208.732</v>
      </c>
      <c r="H9" s="49">
        <f t="shared" si="0"/>
        <v>2026.5242718446602</v>
      </c>
      <c r="I9" s="46">
        <v>1</v>
      </c>
      <c r="J9" s="47" t="s">
        <v>135</v>
      </c>
      <c r="K9" s="44">
        <f t="shared" si="1"/>
        <v>0</v>
      </c>
      <c r="L9" s="45">
        <f t="shared" si="2"/>
        <v>2087.3199999999997</v>
      </c>
      <c r="M9" s="51">
        <f>K9/Info!H$3</f>
        <v>0</v>
      </c>
      <c r="N9" s="51">
        <f>L9/Info!H$3</f>
        <v>208.55207795130983</v>
      </c>
    </row>
    <row r="10" spans="2:14" ht="18.75" customHeight="1">
      <c r="B10" s="99"/>
      <c r="C10" s="95"/>
      <c r="D10" s="95"/>
      <c r="E10" s="39" t="s">
        <v>136</v>
      </c>
      <c r="F10" s="44">
        <v>0</v>
      </c>
      <c r="G10" s="45">
        <v>224.53399999999999</v>
      </c>
      <c r="H10" s="49">
        <f t="shared" si="0"/>
        <v>2179.9417475728155</v>
      </c>
      <c r="I10" s="46">
        <v>2</v>
      </c>
      <c r="J10" s="47" t="s">
        <v>135</v>
      </c>
      <c r="K10" s="44">
        <f t="shared" si="1"/>
        <v>0</v>
      </c>
      <c r="L10" s="45">
        <f t="shared" si="2"/>
        <v>2245.3399999999997</v>
      </c>
      <c r="M10" s="51">
        <f>K10/Info!H$3</f>
        <v>0</v>
      </c>
      <c r="N10" s="51">
        <f>L10/Info!H$3</f>
        <v>224.34045700093614</v>
      </c>
    </row>
    <row r="11" spans="2:14" ht="30.75">
      <c r="B11" s="99"/>
      <c r="C11" s="95"/>
      <c r="D11" s="95"/>
      <c r="E11" s="50" t="s">
        <v>137</v>
      </c>
      <c r="F11" s="44">
        <v>0</v>
      </c>
      <c r="G11" s="45">
        <v>316</v>
      </c>
      <c r="H11" s="49">
        <f t="shared" si="0"/>
        <v>3067.961165048544</v>
      </c>
      <c r="I11" s="46">
        <v>3</v>
      </c>
      <c r="J11" s="50" t="s">
        <v>138</v>
      </c>
      <c r="K11" s="44">
        <f t="shared" ref="K11" si="3">F11/C$7</f>
        <v>0</v>
      </c>
      <c r="L11" s="45"/>
      <c r="M11" s="51"/>
      <c r="N11" s="51"/>
    </row>
    <row r="12" spans="2:14" ht="30.75">
      <c r="B12" s="99"/>
      <c r="C12" s="95"/>
      <c r="D12" s="95"/>
      <c r="E12" s="50" t="s">
        <v>139</v>
      </c>
      <c r="F12" s="44">
        <v>0</v>
      </c>
      <c r="G12" s="45">
        <f>G11*1.1</f>
        <v>347.6</v>
      </c>
      <c r="H12" s="49">
        <f t="shared" si="0"/>
        <v>3374.7572815533986</v>
      </c>
      <c r="I12" s="46">
        <v>4</v>
      </c>
      <c r="J12" s="70" t="s">
        <v>140</v>
      </c>
      <c r="K12" s="44"/>
      <c r="L12" s="45">
        <f t="shared" ref="L12" si="4">G12/C$7</f>
        <v>3476</v>
      </c>
      <c r="M12" s="51"/>
      <c r="N12" s="51"/>
    </row>
    <row r="15" spans="2:14">
      <c r="J15" s="69" t="s">
        <v>141</v>
      </c>
    </row>
    <row r="16" spans="2:14">
      <c r="J16" s="40" t="s">
        <v>142</v>
      </c>
    </row>
    <row r="17" spans="10:11">
      <c r="J17" s="40" t="s">
        <v>143</v>
      </c>
      <c r="K17" s="40" t="s">
        <v>144</v>
      </c>
    </row>
  </sheetData>
  <mergeCells count="4">
    <mergeCell ref="F5:G5"/>
    <mergeCell ref="D7:D12"/>
    <mergeCell ref="C7:C12"/>
    <mergeCell ref="B7:B1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N19"/>
  <sheetViews>
    <sheetView topLeftCell="A8" zoomScaleNormal="100" workbookViewId="0">
      <selection activeCell="I10" sqref="I10"/>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4.710937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7" style="15" customWidth="1"/>
    <col min="13" max="14" width="15.5703125" style="15" customWidth="1"/>
    <col min="15" max="16384" width="9.140625" style="15"/>
  </cols>
  <sheetData>
    <row r="4" spans="2:14">
      <c r="F4" s="40"/>
    </row>
    <row r="5" spans="2:14" ht="75">
      <c r="B5" s="35" t="s">
        <v>46</v>
      </c>
      <c r="C5" s="36" t="s">
        <v>79</v>
      </c>
      <c r="D5" s="36" t="s">
        <v>80</v>
      </c>
      <c r="E5" s="37" t="s">
        <v>47</v>
      </c>
      <c r="F5" s="84" t="s">
        <v>113</v>
      </c>
      <c r="G5" s="91"/>
      <c r="H5" s="36" t="s">
        <v>114</v>
      </c>
      <c r="I5" s="42" t="s">
        <v>49</v>
      </c>
      <c r="J5" s="42" t="s">
        <v>50</v>
      </c>
      <c r="K5" s="35" t="s">
        <v>115</v>
      </c>
      <c r="L5" s="35" t="s">
        <v>116</v>
      </c>
      <c r="M5" s="35" t="s">
        <v>117</v>
      </c>
      <c r="N5" s="35" t="s">
        <v>118</v>
      </c>
    </row>
    <row r="6" spans="2:14" ht="21">
      <c r="B6" s="35"/>
      <c r="C6" s="36"/>
      <c r="D6" s="36"/>
      <c r="E6" s="37"/>
      <c r="F6" s="37" t="s">
        <v>51</v>
      </c>
      <c r="G6" s="35" t="s">
        <v>52</v>
      </c>
      <c r="H6" s="37"/>
      <c r="I6" s="42"/>
      <c r="J6" s="48"/>
      <c r="K6" s="28"/>
      <c r="L6" s="28"/>
      <c r="M6" s="28"/>
      <c r="N6" s="28"/>
    </row>
    <row r="7" spans="2:14" ht="18.75" customHeight="1">
      <c r="B7" s="92" t="s">
        <v>145</v>
      </c>
      <c r="C7" s="96">
        <v>0.1</v>
      </c>
      <c r="D7" s="96">
        <v>0.10199999999999999</v>
      </c>
      <c r="E7" s="38" t="s">
        <v>146</v>
      </c>
      <c r="F7" s="44">
        <v>0</v>
      </c>
      <c r="G7" s="45">
        <v>117.782</v>
      </c>
      <c r="H7" s="45">
        <f>G7/D$7</f>
        <v>1154.7254901960785</v>
      </c>
      <c r="I7" s="46">
        <v>1</v>
      </c>
      <c r="J7" s="28" t="s">
        <v>147</v>
      </c>
      <c r="K7" s="44">
        <f>F7/C$7</f>
        <v>0</v>
      </c>
      <c r="L7" s="45">
        <f>G7/C$7</f>
        <v>1177.82</v>
      </c>
      <c r="M7" s="51">
        <f>K7/Info!H$3</f>
        <v>0</v>
      </c>
      <c r="N7" s="51">
        <f>L7/Info!H$3</f>
        <v>117.68047470086607</v>
      </c>
    </row>
    <row r="8" spans="2:14" ht="18.75" customHeight="1">
      <c r="B8" s="93"/>
      <c r="C8" s="97"/>
      <c r="D8" s="97"/>
      <c r="E8" s="39" t="s">
        <v>148</v>
      </c>
      <c r="F8" s="44">
        <v>0</v>
      </c>
      <c r="G8" s="45">
        <v>138.88399999999999</v>
      </c>
      <c r="H8" s="45">
        <f t="shared" ref="H8:H14" si="0">G8/D$7</f>
        <v>1361.6078431372548</v>
      </c>
      <c r="I8" s="46">
        <v>1</v>
      </c>
      <c r="J8" s="28"/>
      <c r="K8" s="44">
        <f t="shared" ref="K8:K10" si="1">F8/C$7</f>
        <v>0</v>
      </c>
      <c r="L8" s="45">
        <f t="shared" ref="L8:L10" si="2">G8/C$7</f>
        <v>1388.8399999999997</v>
      </c>
      <c r="M8" s="51">
        <f>K8/Info!H$3</f>
        <v>0</v>
      </c>
      <c r="N8" s="51">
        <f>L8/Info!H$3</f>
        <v>138.76428527580683</v>
      </c>
    </row>
    <row r="9" spans="2:14" ht="18.75">
      <c r="B9" s="93"/>
      <c r="C9" s="97"/>
      <c r="D9" s="97"/>
      <c r="E9" s="39" t="s">
        <v>149</v>
      </c>
      <c r="F9" s="44">
        <v>0</v>
      </c>
      <c r="G9" s="45">
        <v>192.17060000000001</v>
      </c>
      <c r="H9" s="45">
        <f t="shared" si="0"/>
        <v>1884.0254901960786</v>
      </c>
      <c r="I9" s="46">
        <v>1</v>
      </c>
      <c r="J9" s="28" t="s">
        <v>135</v>
      </c>
      <c r="K9" s="44">
        <f t="shared" si="1"/>
        <v>0</v>
      </c>
      <c r="L9" s="45">
        <f t="shared" si="2"/>
        <v>1921.7059999999999</v>
      </c>
      <c r="M9" s="51">
        <f>K9/Info!H$3</f>
        <v>0</v>
      </c>
      <c r="N9" s="51">
        <f>L9/Info!H$3</f>
        <v>192.00495348652811</v>
      </c>
    </row>
    <row r="10" spans="2:14" ht="18.75" customHeight="1">
      <c r="B10" s="93"/>
      <c r="C10" s="97"/>
      <c r="D10" s="97"/>
      <c r="E10" s="39" t="s">
        <v>136</v>
      </c>
      <c r="F10" s="44">
        <v>0</v>
      </c>
      <c r="G10" s="45">
        <v>213.214</v>
      </c>
      <c r="H10" s="45">
        <f t="shared" si="0"/>
        <v>2090.3333333333335</v>
      </c>
      <c r="I10" s="46">
        <v>2</v>
      </c>
      <c r="J10" s="28" t="s">
        <v>135</v>
      </c>
      <c r="K10" s="44">
        <f t="shared" si="1"/>
        <v>0</v>
      </c>
      <c r="L10" s="45">
        <f t="shared" si="2"/>
        <v>2132.14</v>
      </c>
      <c r="M10" s="51">
        <f>K10/Info!H$3</f>
        <v>0</v>
      </c>
      <c r="N10" s="51">
        <f>L10/Info!H$3</f>
        <v>213.03021457328333</v>
      </c>
    </row>
    <row r="11" spans="2:14" ht="30.75">
      <c r="B11" s="93"/>
      <c r="C11" s="97"/>
      <c r="D11" s="97"/>
      <c r="E11" s="50" t="s">
        <v>126</v>
      </c>
      <c r="F11" s="44">
        <v>0</v>
      </c>
      <c r="G11" s="45">
        <f>338.474784119418</f>
        <v>338.47478411941802</v>
      </c>
      <c r="H11" s="45">
        <f t="shared" si="0"/>
        <v>3318.3802364648827</v>
      </c>
      <c r="I11" s="46">
        <v>3</v>
      </c>
      <c r="J11" s="50" t="s">
        <v>150</v>
      </c>
      <c r="K11" s="44">
        <f t="shared" ref="K11:K12" si="3">F11/C$7</f>
        <v>0</v>
      </c>
      <c r="L11" s="45">
        <f t="shared" ref="L11:L12" si="4">G11/C$7</f>
        <v>3384.7478411941802</v>
      </c>
      <c r="M11" s="51"/>
      <c r="N11" s="51"/>
    </row>
    <row r="12" spans="2:14" ht="30.75">
      <c r="B12" s="93"/>
      <c r="C12" s="97"/>
      <c r="D12" s="97"/>
      <c r="E12" s="50" t="s">
        <v>151</v>
      </c>
      <c r="F12" s="44">
        <v>0</v>
      </c>
      <c r="G12" s="45">
        <f>366.95</f>
        <v>366.95</v>
      </c>
      <c r="H12" s="45">
        <f t="shared" si="0"/>
        <v>3597.5490196078431</v>
      </c>
      <c r="I12" s="46">
        <v>4</v>
      </c>
      <c r="J12" s="50" t="s">
        <v>152</v>
      </c>
      <c r="K12" s="44">
        <f t="shared" si="3"/>
        <v>0</v>
      </c>
      <c r="L12" s="45">
        <f t="shared" si="4"/>
        <v>3669.4999999999995</v>
      </c>
      <c r="M12" s="51">
        <f>K12/Info!H$3</f>
        <v>0</v>
      </c>
      <c r="N12" s="51">
        <f>L12/Info!H$3</f>
        <v>366.63369777625445</v>
      </c>
    </row>
    <row r="13" spans="2:14" ht="45.75">
      <c r="B13" s="93"/>
      <c r="C13" s="97"/>
      <c r="D13" s="97"/>
      <c r="E13" s="50" t="s">
        <v>153</v>
      </c>
      <c r="F13" s="44">
        <v>0</v>
      </c>
      <c r="G13" s="45">
        <f>G12*(D7+0.035)/D7</f>
        <v>492.86421568627458</v>
      </c>
      <c r="H13" s="45">
        <f t="shared" si="0"/>
        <v>4832.0021145713199</v>
      </c>
      <c r="I13" s="46">
        <v>5</v>
      </c>
      <c r="J13" s="50" t="s">
        <v>154</v>
      </c>
      <c r="K13" s="44">
        <f t="shared" ref="K13:K14" si="5">F13/C$7</f>
        <v>0</v>
      </c>
      <c r="L13" s="45">
        <f t="shared" ref="L13:L14" si="6">G13/C$7</f>
        <v>4928.6421568627457</v>
      </c>
      <c r="M13" s="51">
        <f>K13/Info!H$3</f>
        <v>0</v>
      </c>
      <c r="N13" s="51">
        <f>L13/Info!H$3</f>
        <v>492.43937838575363</v>
      </c>
    </row>
    <row r="14" spans="2:14" ht="45.75">
      <c r="B14" s="94"/>
      <c r="C14" s="98"/>
      <c r="D14" s="98"/>
      <c r="E14" s="50" t="s">
        <v>155</v>
      </c>
      <c r="F14" s="44">
        <v>0</v>
      </c>
      <c r="G14" s="45">
        <f>G12*(D7+0.0875)/D7</f>
        <v>681.73553921568634</v>
      </c>
      <c r="H14" s="45">
        <f t="shared" si="0"/>
        <v>6683.6817570165331</v>
      </c>
      <c r="I14" s="46">
        <v>10</v>
      </c>
      <c r="J14" s="50" t="s">
        <v>154</v>
      </c>
      <c r="K14" s="44">
        <f t="shared" si="5"/>
        <v>0</v>
      </c>
      <c r="L14" s="45">
        <f t="shared" si="6"/>
        <v>6817.3553921568628</v>
      </c>
      <c r="M14" s="51">
        <f>K14/Info!H$3</f>
        <v>0</v>
      </c>
      <c r="N14" s="51">
        <f>L14/Info!H$3</f>
        <v>681.14789930000222</v>
      </c>
    </row>
    <row r="15" spans="2:14">
      <c r="J15" s="40"/>
    </row>
    <row r="19" spans="8:8">
      <c r="H19" s="40"/>
    </row>
  </sheetData>
  <mergeCells count="4">
    <mergeCell ref="B7:B14"/>
    <mergeCell ref="F5:G5"/>
    <mergeCell ref="D7:D14"/>
    <mergeCell ref="C7:C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N34"/>
  <sheetViews>
    <sheetView topLeftCell="A4" zoomScaleNormal="100" workbookViewId="0">
      <selection activeCell="G11" sqref="G11"/>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4.7109375" style="15" customWidth="1"/>
    <col min="13" max="14" width="13.5703125" style="15" customWidth="1"/>
    <col min="15" max="16384" width="9.140625" style="15"/>
  </cols>
  <sheetData>
    <row r="4" spans="2:14">
      <c r="F4" s="40"/>
    </row>
    <row r="5" spans="2:14" ht="75">
      <c r="B5" s="35" t="s">
        <v>46</v>
      </c>
      <c r="C5" s="36" t="s">
        <v>79</v>
      </c>
      <c r="D5" s="36" t="s">
        <v>80</v>
      </c>
      <c r="E5" s="37" t="s">
        <v>47</v>
      </c>
      <c r="F5" s="84" t="s">
        <v>113</v>
      </c>
      <c r="G5" s="91"/>
      <c r="H5" s="36" t="s">
        <v>114</v>
      </c>
      <c r="I5" s="42" t="s">
        <v>49</v>
      </c>
      <c r="J5" s="42" t="s">
        <v>50</v>
      </c>
      <c r="K5" s="35" t="s">
        <v>115</v>
      </c>
      <c r="L5" s="35" t="s">
        <v>116</v>
      </c>
      <c r="M5" s="35" t="s">
        <v>117</v>
      </c>
      <c r="N5" s="35" t="s">
        <v>118</v>
      </c>
    </row>
    <row r="6" spans="2:14" ht="21">
      <c r="B6" s="35"/>
      <c r="C6" s="36"/>
      <c r="D6" s="36"/>
      <c r="E6" s="37"/>
      <c r="F6" s="37" t="s">
        <v>51</v>
      </c>
      <c r="G6" s="35" t="s">
        <v>52</v>
      </c>
      <c r="H6" s="37"/>
      <c r="I6" s="42"/>
      <c r="J6" s="48"/>
      <c r="K6" s="28"/>
      <c r="L6" s="28"/>
      <c r="M6" s="28"/>
      <c r="N6" s="28"/>
    </row>
    <row r="7" spans="2:14" ht="18.75" customHeight="1">
      <c r="B7" s="100" t="s">
        <v>156</v>
      </c>
      <c r="C7" s="95">
        <v>0.1</v>
      </c>
      <c r="D7" s="95">
        <v>0.10340000000000001</v>
      </c>
      <c r="E7" s="38" t="s">
        <v>157</v>
      </c>
      <c r="F7" s="44">
        <v>0</v>
      </c>
      <c r="G7" s="45">
        <v>210.4</v>
      </c>
      <c r="H7" s="45">
        <f>G7/D$7</f>
        <v>2034.8162475822051</v>
      </c>
      <c r="I7" s="46">
        <v>1</v>
      </c>
      <c r="J7" s="28"/>
      <c r="K7" s="44">
        <f>F7/C$7</f>
        <v>0</v>
      </c>
      <c r="L7" s="45">
        <f>G7/C$7</f>
        <v>2104</v>
      </c>
      <c r="M7" s="51">
        <f>K7/Info!H$3</f>
        <v>0</v>
      </c>
      <c r="N7" s="51">
        <f>L7/Info!H$3</f>
        <v>210.21864017474846</v>
      </c>
    </row>
    <row r="8" spans="2:14" ht="18.75" customHeight="1">
      <c r="B8" s="100"/>
      <c r="C8" s="95"/>
      <c r="D8" s="95"/>
      <c r="E8" s="39" t="s">
        <v>158</v>
      </c>
      <c r="F8" s="44">
        <v>0</v>
      </c>
      <c r="G8" s="45">
        <v>220.7</v>
      </c>
      <c r="H8" s="45">
        <f t="shared" ref="H8:H12" si="0">G8/D$7</f>
        <v>2134.4294003868472</v>
      </c>
      <c r="I8" s="46">
        <v>1</v>
      </c>
      <c r="J8" s="28"/>
      <c r="K8" s="44">
        <f t="shared" ref="K8:K10" si="1">F8/C$7</f>
        <v>0</v>
      </c>
      <c r="L8" s="45">
        <f t="shared" ref="L8:L10" si="2">G8/C$7</f>
        <v>2206.9999999999995</v>
      </c>
      <c r="M8" s="51">
        <f>K8/Info!H$3</f>
        <v>0</v>
      </c>
      <c r="N8" s="51">
        <f>L8/Info!H$3</f>
        <v>220.50976181828409</v>
      </c>
    </row>
    <row r="9" spans="2:14" ht="30.75">
      <c r="B9" s="100"/>
      <c r="C9" s="95"/>
      <c r="D9" s="95"/>
      <c r="E9" s="39" t="s">
        <v>122</v>
      </c>
      <c r="F9" s="44">
        <v>0</v>
      </c>
      <c r="G9" s="45">
        <v>236.916</v>
      </c>
      <c r="H9" s="45">
        <f t="shared" si="0"/>
        <v>2291.2572533849129</v>
      </c>
      <c r="I9" s="46">
        <v>1</v>
      </c>
      <c r="J9" s="28" t="s">
        <v>123</v>
      </c>
      <c r="K9" s="44">
        <f t="shared" si="1"/>
        <v>0</v>
      </c>
      <c r="L9" s="45">
        <f t="shared" si="2"/>
        <v>2369.16</v>
      </c>
      <c r="M9" s="51">
        <f>K9/Info!H$3</f>
        <v>0</v>
      </c>
      <c r="N9" s="51">
        <f>L9/Info!H$3</f>
        <v>236.71178400969916</v>
      </c>
    </row>
    <row r="10" spans="2:14" ht="18.75" customHeight="1">
      <c r="B10" s="100"/>
      <c r="C10" s="95"/>
      <c r="D10" s="95"/>
      <c r="E10" s="39" t="s">
        <v>136</v>
      </c>
      <c r="F10" s="44">
        <v>0</v>
      </c>
      <c r="G10" s="45">
        <v>258.30799999999999</v>
      </c>
      <c r="H10" s="45">
        <f t="shared" si="0"/>
        <v>2498.1431334622821</v>
      </c>
      <c r="I10" s="46">
        <v>2</v>
      </c>
      <c r="J10" s="28" t="s">
        <v>123</v>
      </c>
      <c r="K10" s="44">
        <f t="shared" si="1"/>
        <v>0</v>
      </c>
      <c r="L10" s="45">
        <f t="shared" si="2"/>
        <v>2583.08</v>
      </c>
      <c r="M10" s="51">
        <f>K10/Info!H$3</f>
        <v>0</v>
      </c>
      <c r="N10" s="51">
        <f>L10/Info!H$3</f>
        <v>258.08534461149679</v>
      </c>
    </row>
    <row r="11" spans="2:14" ht="30.75">
      <c r="B11" s="100"/>
      <c r="C11" s="95"/>
      <c r="D11" s="95"/>
      <c r="E11" s="50" t="s">
        <v>159</v>
      </c>
      <c r="F11" s="44">
        <v>0</v>
      </c>
      <c r="G11" s="45">
        <f>Sdend!G11*15/13</f>
        <v>390.57692307692309</v>
      </c>
      <c r="H11" s="45">
        <f t="shared" si="0"/>
        <v>3777.3396815950009</v>
      </c>
      <c r="I11" s="46">
        <v>3</v>
      </c>
      <c r="J11" s="41" t="s">
        <v>160</v>
      </c>
      <c r="K11" s="44"/>
      <c r="L11" s="45"/>
      <c r="M11" s="51"/>
      <c r="N11" s="51"/>
    </row>
    <row r="12" spans="2:14" ht="45.75">
      <c r="B12" s="100"/>
      <c r="C12" s="95"/>
      <c r="D12" s="95"/>
      <c r="E12" s="50" t="s">
        <v>161</v>
      </c>
      <c r="F12" s="44">
        <v>0</v>
      </c>
      <c r="G12" s="45">
        <f>G11*(D7+0.01)/D7</f>
        <v>428.35031989287307</v>
      </c>
      <c r="H12" s="45">
        <f t="shared" si="0"/>
        <v>4142.6529970297197</v>
      </c>
      <c r="I12" s="46">
        <v>4</v>
      </c>
      <c r="J12" s="50" t="s">
        <v>162</v>
      </c>
      <c r="K12" s="44">
        <f t="shared" ref="K12" si="3">F12/C$7</f>
        <v>0</v>
      </c>
      <c r="L12" s="45">
        <f t="shared" ref="L12" si="4">G12/C$7</f>
        <v>4283.5031989287309</v>
      </c>
      <c r="M12" s="51">
        <f>K12/Info!H$3</f>
        <v>0</v>
      </c>
      <c r="N12" s="51">
        <f>L12/Info!H$3</f>
        <v>427.98109204514395</v>
      </c>
    </row>
    <row r="22" spans="4:12">
      <c r="D22" s="56" t="s">
        <v>163</v>
      </c>
      <c r="E22" s="56"/>
      <c r="H22" s="15" t="s">
        <v>164</v>
      </c>
    </row>
    <row r="23" spans="4:12" ht="30">
      <c r="D23" s="58" t="s">
        <v>132</v>
      </c>
      <c r="E23" s="58" t="s">
        <v>133</v>
      </c>
      <c r="H23" s="57" t="s">
        <v>165</v>
      </c>
      <c r="I23" s="57" t="s">
        <v>166</v>
      </c>
      <c r="L23" s="56"/>
    </row>
    <row r="24" spans="4:12">
      <c r="D24" s="56">
        <v>0</v>
      </c>
      <c r="E24" s="56">
        <v>0.90855600000000003</v>
      </c>
      <c r="H24" s="56">
        <v>0</v>
      </c>
      <c r="I24" s="56">
        <v>0</v>
      </c>
      <c r="L24" s="56"/>
    </row>
    <row r="25" spans="4:12">
      <c r="D25" s="56">
        <v>16.544709999999998</v>
      </c>
      <c r="E25" s="56">
        <v>48.147689999999997</v>
      </c>
      <c r="H25" s="56">
        <v>66.2</v>
      </c>
      <c r="I25" s="56">
        <v>191.8032</v>
      </c>
      <c r="L25" s="56"/>
    </row>
    <row r="26" spans="4:12">
      <c r="D26" s="56">
        <v>19.628530000000001</v>
      </c>
      <c r="E26" s="56">
        <v>58.289319999999996</v>
      </c>
      <c r="H26" s="56">
        <v>72.8</v>
      </c>
      <c r="I26" s="56">
        <v>205.06399999999999</v>
      </c>
      <c r="L26" s="56"/>
    </row>
    <row r="27" spans="4:12">
      <c r="D27" s="56">
        <v>33.098700000000001</v>
      </c>
      <c r="E27" s="56">
        <v>95.402339999999995</v>
      </c>
      <c r="H27" s="56">
        <v>78.599999999999994</v>
      </c>
      <c r="I27" s="56">
        <v>213.672</v>
      </c>
      <c r="L27" s="56"/>
    </row>
    <row r="28" spans="4:12">
      <c r="D28" s="56">
        <v>39.270159999999997</v>
      </c>
      <c r="E28" s="56">
        <v>115.21939999999999</v>
      </c>
      <c r="H28" s="56">
        <v>86.4</v>
      </c>
      <c r="I28" s="56">
        <v>223.29599999999999</v>
      </c>
      <c r="L28" s="56"/>
    </row>
    <row r="29" spans="4:12">
      <c r="D29" s="56">
        <v>49.655290000000001</v>
      </c>
      <c r="E29" s="56">
        <v>142.30549999999999</v>
      </c>
      <c r="H29" s="56">
        <v>100</v>
      </c>
      <c r="I29" s="56">
        <v>236.916</v>
      </c>
      <c r="L29" s="56"/>
    </row>
    <row r="30" spans="4:12">
      <c r="D30" s="56">
        <v>58.90842</v>
      </c>
      <c r="E30" s="56">
        <v>171.2037</v>
      </c>
      <c r="H30" s="56">
        <v>110</v>
      </c>
      <c r="I30" s="56">
        <v>245.08799999999999</v>
      </c>
      <c r="L30" s="56"/>
    </row>
    <row r="31" spans="4:12">
      <c r="D31" s="56">
        <v>66.216239999999999</v>
      </c>
      <c r="E31" s="56">
        <v>187.09379999999999</v>
      </c>
      <c r="H31" s="56">
        <v>130</v>
      </c>
      <c r="I31" s="56">
        <v>258.30799999999999</v>
      </c>
      <c r="L31" s="56"/>
    </row>
    <row r="32" spans="4:12">
      <c r="D32" s="56">
        <v>72.838589999999996</v>
      </c>
      <c r="E32" s="56">
        <v>200.1782</v>
      </c>
    </row>
    <row r="33" spans="4:5">
      <c r="D33" s="56">
        <v>78.549310000000006</v>
      </c>
      <c r="E33" s="56">
        <v>211.68530000000001</v>
      </c>
    </row>
    <row r="34" spans="4:5">
      <c r="D34" s="56">
        <v>86.402140000000003</v>
      </c>
      <c r="E34" s="56">
        <v>220.6711</v>
      </c>
    </row>
  </sheetData>
  <mergeCells count="4">
    <mergeCell ref="F5:G5"/>
    <mergeCell ref="D7:D12"/>
    <mergeCell ref="C7:C12"/>
    <mergeCell ref="B7:B1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4:N22"/>
  <sheetViews>
    <sheetView topLeftCell="A7" zoomScaleNormal="100" workbookViewId="0">
      <selection activeCell="G10" sqref="G10"/>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46</v>
      </c>
      <c r="C5" s="36" t="s">
        <v>79</v>
      </c>
      <c r="D5" s="36" t="s">
        <v>80</v>
      </c>
      <c r="E5" s="37" t="s">
        <v>47</v>
      </c>
      <c r="F5" s="84" t="s">
        <v>167</v>
      </c>
      <c r="G5" s="91"/>
      <c r="H5" s="36" t="s">
        <v>168</v>
      </c>
      <c r="I5" s="42" t="s">
        <v>49</v>
      </c>
      <c r="J5" s="42" t="s">
        <v>50</v>
      </c>
      <c r="K5" s="35" t="s">
        <v>169</v>
      </c>
      <c r="L5" s="35" t="s">
        <v>170</v>
      </c>
      <c r="M5" s="35" t="s">
        <v>171</v>
      </c>
      <c r="N5" s="35" t="s">
        <v>172</v>
      </c>
    </row>
    <row r="6" spans="2:14" ht="21">
      <c r="B6" s="35"/>
      <c r="C6" s="36"/>
      <c r="D6" s="36"/>
      <c r="E6" s="37"/>
      <c r="F6" s="37" t="s">
        <v>51</v>
      </c>
      <c r="G6" s="35" t="s">
        <v>52</v>
      </c>
      <c r="H6" s="37"/>
      <c r="I6" s="42"/>
      <c r="J6" s="48"/>
      <c r="K6" s="28"/>
      <c r="L6" s="28"/>
      <c r="M6" s="28"/>
      <c r="N6" s="28"/>
    </row>
    <row r="7" spans="2:14" ht="45.75">
      <c r="B7" s="100" t="s">
        <v>173</v>
      </c>
      <c r="C7" s="95">
        <v>0.1</v>
      </c>
      <c r="D7" s="95">
        <v>0.1008</v>
      </c>
      <c r="E7" s="39" t="s">
        <v>54</v>
      </c>
      <c r="F7" s="44">
        <v>0</v>
      </c>
      <c r="G7" s="49">
        <v>3486.6638572399993</v>
      </c>
      <c r="H7" s="49">
        <f>G7/D$7</f>
        <v>34589.919218650786</v>
      </c>
      <c r="I7" s="46">
        <v>1</v>
      </c>
      <c r="J7" s="39" t="s">
        <v>174</v>
      </c>
      <c r="K7" s="44">
        <f>F7/C$7</f>
        <v>0</v>
      </c>
      <c r="L7" s="45">
        <f>G7/C$7</f>
        <v>34866.638572399992</v>
      </c>
      <c r="M7" s="51">
        <f>K7/Info!H$3</f>
        <v>0</v>
      </c>
      <c r="N7" s="51">
        <f>L7/Info!H$3</f>
        <v>3483.6584354345814</v>
      </c>
    </row>
    <row r="8" spans="2:14" ht="30.75">
      <c r="B8" s="100"/>
      <c r="C8" s="95"/>
      <c r="D8" s="95"/>
      <c r="E8" s="39" t="s">
        <v>175</v>
      </c>
      <c r="F8" s="44">
        <v>0</v>
      </c>
      <c r="G8" s="49">
        <v>5601.7808299999988</v>
      </c>
      <c r="H8" s="49">
        <f>G8/D$7</f>
        <v>55573.222519841256</v>
      </c>
      <c r="I8" s="46">
        <v>2</v>
      </c>
      <c r="J8" s="39" t="s">
        <v>176</v>
      </c>
      <c r="K8" s="44">
        <f>F8/C$7</f>
        <v>0</v>
      </c>
      <c r="L8" s="45">
        <f>G8/C$7</f>
        <v>56017.808299999982</v>
      </c>
      <c r="M8" s="51">
        <f>K8/Info!H$3</f>
        <v>0</v>
      </c>
      <c r="N8" s="51">
        <f>L8/Info!H$3</f>
        <v>5596.9522273743978</v>
      </c>
    </row>
    <row r="9" spans="2:14" ht="45.75">
      <c r="B9" s="100"/>
      <c r="C9" s="95"/>
      <c r="D9" s="95"/>
      <c r="E9" s="39" t="s">
        <v>177</v>
      </c>
      <c r="F9" s="44">
        <v>0</v>
      </c>
      <c r="G9" s="49">
        <v>6595.8551085119998</v>
      </c>
      <c r="H9" s="49">
        <f>G9/D$7</f>
        <v>65435.07052095238</v>
      </c>
      <c r="I9" s="46">
        <v>3</v>
      </c>
      <c r="J9" s="50" t="s">
        <v>178</v>
      </c>
      <c r="K9" s="44">
        <f>F9/C$7</f>
        <v>0</v>
      </c>
      <c r="L9" s="45">
        <f>G9/C$7</f>
        <v>65958.551085119994</v>
      </c>
      <c r="M9" s="51">
        <f>K9/Info!H$3</f>
        <v>0</v>
      </c>
      <c r="N9" s="51">
        <f>L9/Info!H$3</f>
        <v>6590.1696373624545</v>
      </c>
    </row>
    <row r="10" spans="2:14" ht="60.75">
      <c r="B10" s="100"/>
      <c r="C10" s="95"/>
      <c r="D10" s="95"/>
      <c r="E10" s="39" t="s">
        <v>179</v>
      </c>
      <c r="F10" s="44">
        <v>0</v>
      </c>
      <c r="G10" s="49">
        <v>7988.83</v>
      </c>
      <c r="H10" s="49">
        <f>G10/D$7</f>
        <v>79254.265873015873</v>
      </c>
      <c r="I10" s="46">
        <v>4</v>
      </c>
      <c r="J10" s="50" t="s">
        <v>180</v>
      </c>
      <c r="K10" s="44">
        <f>F10/C$7</f>
        <v>0</v>
      </c>
      <c r="L10" s="45">
        <f>G10/C$7</f>
        <v>79888.299999999988</v>
      </c>
      <c r="M10" s="51">
        <f>K10/Info!H$3</f>
        <v>0</v>
      </c>
      <c r="N10" s="51">
        <f>L10/Info!H$3</f>
        <v>7981.9438174298266</v>
      </c>
    </row>
    <row r="11" spans="2:14">
      <c r="G11" s="40"/>
    </row>
    <row r="12" spans="2:14">
      <c r="B12" s="71" t="s">
        <v>181</v>
      </c>
      <c r="C12" s="40" t="s">
        <v>182</v>
      </c>
      <c r="G12" s="40" t="s">
        <v>183</v>
      </c>
      <c r="K12" s="40" t="s">
        <v>184</v>
      </c>
      <c r="M12" s="72">
        <f>28.3/29.85*60</f>
        <v>56.884422110552762</v>
      </c>
      <c r="N12" s="40" t="s">
        <v>44</v>
      </c>
    </row>
    <row r="13" spans="2:14">
      <c r="C13" s="40" t="s">
        <v>185</v>
      </c>
      <c r="K13" s="40" t="s">
        <v>186</v>
      </c>
      <c r="M13" s="15">
        <f>15/1*41.4</f>
        <v>621</v>
      </c>
      <c r="N13" s="40" t="s">
        <v>44</v>
      </c>
    </row>
    <row r="14" spans="2:14">
      <c r="C14" s="40"/>
    </row>
    <row r="15" spans="2:14">
      <c r="C15" s="40"/>
      <c r="E15" s="40"/>
    </row>
    <row r="16" spans="2:14">
      <c r="E16" s="40"/>
    </row>
    <row r="18" spans="8:8">
      <c r="H18" s="40"/>
    </row>
    <row r="22" spans="8:8">
      <c r="H22" s="40"/>
    </row>
  </sheetData>
  <mergeCells count="4">
    <mergeCell ref="F5:G5"/>
    <mergeCell ref="B7:B10"/>
    <mergeCell ref="C7:C10"/>
    <mergeCell ref="D7:D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4:N21"/>
  <sheetViews>
    <sheetView zoomScaleNormal="100" workbookViewId="0">
      <selection activeCell="G14" sqref="G14"/>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46</v>
      </c>
      <c r="C5" s="36" t="s">
        <v>79</v>
      </c>
      <c r="D5" s="36" t="s">
        <v>80</v>
      </c>
      <c r="E5" s="37" t="s">
        <v>47</v>
      </c>
      <c r="F5" s="84" t="s">
        <v>167</v>
      </c>
      <c r="G5" s="91"/>
      <c r="H5" s="36" t="s">
        <v>168</v>
      </c>
      <c r="I5" s="42" t="s">
        <v>49</v>
      </c>
      <c r="J5" s="42" t="s">
        <v>50</v>
      </c>
      <c r="K5" s="35" t="s">
        <v>169</v>
      </c>
      <c r="L5" s="35" t="s">
        <v>170</v>
      </c>
      <c r="M5" s="35" t="s">
        <v>171</v>
      </c>
      <c r="N5" s="35" t="s">
        <v>172</v>
      </c>
    </row>
    <row r="6" spans="2:14" ht="21">
      <c r="B6" s="35"/>
      <c r="C6" s="36"/>
      <c r="D6" s="36"/>
      <c r="E6" s="37"/>
      <c r="F6" s="37" t="s">
        <v>51</v>
      </c>
      <c r="G6" s="35" t="s">
        <v>52</v>
      </c>
      <c r="H6" s="37"/>
      <c r="I6" s="42"/>
      <c r="J6" s="48"/>
      <c r="K6" s="28"/>
      <c r="L6" s="28"/>
      <c r="M6" s="28"/>
      <c r="N6" s="28"/>
    </row>
    <row r="7" spans="2:14" ht="45.75">
      <c r="B7" s="92" t="s">
        <v>187</v>
      </c>
      <c r="C7" s="96">
        <v>0.1</v>
      </c>
      <c r="D7" s="96">
        <v>0.1008</v>
      </c>
      <c r="E7" s="39" t="s">
        <v>54</v>
      </c>
      <c r="F7" s="44">
        <v>0</v>
      </c>
      <c r="G7" s="49">
        <v>6595.8559999999998</v>
      </c>
      <c r="H7" s="49">
        <f>G7/D$7</f>
        <v>65435.079365079364</v>
      </c>
      <c r="I7" s="46">
        <v>1</v>
      </c>
      <c r="J7" s="39" t="s">
        <v>188</v>
      </c>
      <c r="K7" s="44">
        <f>F7/C$7</f>
        <v>0</v>
      </c>
      <c r="L7" s="45">
        <f>G7/C$7</f>
        <v>65958.559999999998</v>
      </c>
      <c r="M7" s="51">
        <f>K7/Info!H$3</f>
        <v>0</v>
      </c>
      <c r="N7" s="51">
        <f>L7/Info!H$3</f>
        <v>6590.1705280820133</v>
      </c>
    </row>
    <row r="8" spans="2:14" ht="60.75">
      <c r="B8" s="94"/>
      <c r="C8" s="98"/>
      <c r="D8" s="98"/>
      <c r="E8" s="39" t="s">
        <v>189</v>
      </c>
      <c r="F8" s="44">
        <v>0</v>
      </c>
      <c r="G8" s="49">
        <v>7988.83</v>
      </c>
      <c r="H8" s="49">
        <f>G8/D$7</f>
        <v>79254.265873015873</v>
      </c>
      <c r="I8" s="46">
        <v>2</v>
      </c>
      <c r="J8" s="39" t="s">
        <v>190</v>
      </c>
      <c r="K8" s="44">
        <f>F8/C$7</f>
        <v>0</v>
      </c>
      <c r="L8" s="45">
        <f>G8/C$7</f>
        <v>79888.299999999988</v>
      </c>
      <c r="M8" s="51">
        <f>K8/Info!H$3</f>
        <v>0</v>
      </c>
      <c r="N8" s="51">
        <f>L8/Info!H$3</f>
        <v>7981.9438174298266</v>
      </c>
    </row>
    <row r="10" spans="2:14">
      <c r="B10" s="40" t="s">
        <v>181</v>
      </c>
      <c r="C10" s="40" t="s">
        <v>191</v>
      </c>
      <c r="G10" s="40"/>
      <c r="H10" s="40"/>
      <c r="K10" s="40" t="s">
        <v>184</v>
      </c>
      <c r="M10" s="73">
        <f>100/49.6*57.3</f>
        <v>115.52419354838709</v>
      </c>
      <c r="N10" s="40" t="s">
        <v>44</v>
      </c>
    </row>
    <row r="11" spans="2:14">
      <c r="C11" s="40" t="s">
        <v>192</v>
      </c>
      <c r="K11" s="40" t="s">
        <v>184</v>
      </c>
      <c r="M11" s="15">
        <f>254*22/8</f>
        <v>698.5</v>
      </c>
      <c r="N11" s="40" t="s">
        <v>44</v>
      </c>
    </row>
    <row r="14" spans="2:14">
      <c r="E14" s="40"/>
    </row>
    <row r="15" spans="2:14">
      <c r="E15" s="40"/>
      <c r="J15" s="15">
        <f>107*G8/G7</f>
        <v>129.59725166832021</v>
      </c>
    </row>
    <row r="17" spans="7:8">
      <c r="G17" s="74"/>
      <c r="H17" s="40"/>
    </row>
    <row r="21" spans="7:8">
      <c r="H21" s="40"/>
    </row>
  </sheetData>
  <mergeCells count="4">
    <mergeCell ref="F5:G5"/>
    <mergeCell ref="B7:B8"/>
    <mergeCell ref="C7:C8"/>
    <mergeCell ref="D7:D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4:N15"/>
  <sheetViews>
    <sheetView topLeftCell="A4" zoomScaleNormal="100" workbookViewId="0">
      <selection activeCell="G18" sqref="G1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0.28515625" style="15" customWidth="1"/>
    <col min="13" max="14" width="12.5703125" style="15" customWidth="1"/>
    <col min="15" max="16384" width="9.140625" style="15"/>
  </cols>
  <sheetData>
    <row r="4" spans="2:14">
      <c r="F4" s="40"/>
    </row>
    <row r="5" spans="2:14" ht="75">
      <c r="B5" s="35" t="s">
        <v>46</v>
      </c>
      <c r="C5" s="36" t="s">
        <v>79</v>
      </c>
      <c r="D5" s="36" t="s">
        <v>80</v>
      </c>
      <c r="E5" s="37" t="s">
        <v>47</v>
      </c>
      <c r="F5" s="84" t="s">
        <v>167</v>
      </c>
      <c r="G5" s="91"/>
      <c r="H5" s="36" t="s">
        <v>168</v>
      </c>
      <c r="I5" s="42" t="s">
        <v>49</v>
      </c>
      <c r="J5" s="42" t="s">
        <v>50</v>
      </c>
      <c r="K5" s="35" t="s">
        <v>169</v>
      </c>
      <c r="L5" s="35" t="s">
        <v>170</v>
      </c>
      <c r="M5" s="35" t="s">
        <v>171</v>
      </c>
      <c r="N5" s="35" t="s">
        <v>172</v>
      </c>
    </row>
    <row r="6" spans="2:14" ht="21">
      <c r="B6" s="35"/>
      <c r="C6" s="36"/>
      <c r="D6" s="36"/>
      <c r="E6" s="37"/>
      <c r="F6" s="37" t="s">
        <v>51</v>
      </c>
      <c r="G6" s="35" t="s">
        <v>52</v>
      </c>
      <c r="H6" s="37"/>
      <c r="I6" s="42"/>
      <c r="J6" s="48"/>
      <c r="K6" s="28"/>
      <c r="L6" s="28"/>
      <c r="M6" s="28"/>
      <c r="N6" s="28"/>
    </row>
    <row r="7" spans="2:14" ht="18.75" customHeight="1">
      <c r="B7" s="100" t="s">
        <v>193</v>
      </c>
      <c r="C7" s="95">
        <v>0.1</v>
      </c>
      <c r="D7" s="95">
        <v>0.1</v>
      </c>
      <c r="E7" s="39" t="s">
        <v>194</v>
      </c>
      <c r="F7" s="44">
        <v>0</v>
      </c>
      <c r="G7" s="49">
        <v>2530.1138853999996</v>
      </c>
      <c r="H7" s="45">
        <f>G7/D$7</f>
        <v>25301.138853999993</v>
      </c>
      <c r="I7" s="46">
        <v>1</v>
      </c>
      <c r="J7" s="41" t="s">
        <v>195</v>
      </c>
      <c r="K7" s="44">
        <f>F7/C$7</f>
        <v>0</v>
      </c>
      <c r="L7" s="45">
        <f>G7/C$7</f>
        <v>25301.138853999993</v>
      </c>
      <c r="M7" s="51">
        <f>K7/Info!H$3</f>
        <v>0</v>
      </c>
      <c r="N7" s="51">
        <f>L7/Info!H$3</f>
        <v>2527.9329870534089</v>
      </c>
    </row>
    <row r="8" spans="2:14" ht="18.75" customHeight="1">
      <c r="B8" s="100"/>
      <c r="C8" s="95"/>
      <c r="D8" s="95"/>
      <c r="E8" s="39" t="s">
        <v>196</v>
      </c>
      <c r="F8" s="44">
        <v>0</v>
      </c>
      <c r="G8" s="49">
        <v>6595.8559999999989</v>
      </c>
      <c r="H8" s="45">
        <f t="shared" ref="H8" si="0">G8/D$7</f>
        <v>65958.559999999983</v>
      </c>
      <c r="I8" s="46">
        <v>2</v>
      </c>
      <c r="J8" s="41" t="s">
        <v>197</v>
      </c>
      <c r="K8" s="44">
        <f t="shared" ref="K8" si="1">F8/C$7</f>
        <v>0</v>
      </c>
      <c r="L8" s="45">
        <f t="shared" ref="L8" si="2">G8/C$7</f>
        <v>65958.559999999983</v>
      </c>
      <c r="M8" s="51">
        <f>K8/Info!H$3</f>
        <v>0</v>
      </c>
      <c r="N8" s="51">
        <f>L8/Info!H$3</f>
        <v>6590.1705280820115</v>
      </c>
    </row>
    <row r="9" spans="2:14" ht="30.75">
      <c r="B9" s="100"/>
      <c r="C9" s="95"/>
      <c r="D9" s="95"/>
      <c r="E9" s="39" t="s">
        <v>198</v>
      </c>
      <c r="F9" s="44">
        <v>0</v>
      </c>
      <c r="G9" s="49">
        <v>7988.83</v>
      </c>
      <c r="H9" s="45">
        <f t="shared" ref="H9" si="3">G9/D$7</f>
        <v>79888.299999999988</v>
      </c>
      <c r="I9" s="46">
        <v>3</v>
      </c>
      <c r="J9" s="41" t="s">
        <v>199</v>
      </c>
      <c r="K9" s="44">
        <f t="shared" ref="K9" si="4">F9/C$7</f>
        <v>0</v>
      </c>
      <c r="L9" s="45">
        <f t="shared" ref="L9" si="5">G9/C$7</f>
        <v>79888.299999999988</v>
      </c>
      <c r="M9" s="51">
        <f>K9/Info!H$3</f>
        <v>0</v>
      </c>
      <c r="N9" s="51">
        <f>L9/Info!H$3</f>
        <v>7981.9438174298266</v>
      </c>
    </row>
    <row r="12" spans="2:14">
      <c r="B12" s="40" t="s">
        <v>181</v>
      </c>
      <c r="C12" s="40" t="s">
        <v>200</v>
      </c>
      <c r="K12" s="40" t="s">
        <v>201</v>
      </c>
      <c r="M12" s="15">
        <f>110/58.3*94.9</f>
        <v>179.05660377358492</v>
      </c>
      <c r="N12" s="40" t="s">
        <v>44</v>
      </c>
    </row>
    <row r="13" spans="2:14">
      <c r="I13" s="40"/>
    </row>
    <row r="14" spans="2:14">
      <c r="I14" s="40"/>
      <c r="J14" s="15">
        <f>58.3/94.9</f>
        <v>0.61433087460484714</v>
      </c>
    </row>
    <row r="15" spans="2:14">
      <c r="E15" s="40" t="s">
        <v>202</v>
      </c>
      <c r="J15" s="15">
        <f>225*J14</f>
        <v>138.2244467860906</v>
      </c>
    </row>
  </sheetData>
  <mergeCells count="4">
    <mergeCell ref="F5:G5"/>
    <mergeCell ref="D7:D9"/>
    <mergeCell ref="C7:C9"/>
    <mergeCell ref="B7:B9"/>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L10"/>
  <sheetViews>
    <sheetView topLeftCell="C1" zoomScaleNormal="100" workbookViewId="0">
      <selection activeCell="F7" sqref="F7"/>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4" spans="2:12">
      <c r="F4" s="40"/>
    </row>
    <row r="5" spans="2:12" ht="56.25">
      <c r="B5" s="35" t="s">
        <v>46</v>
      </c>
      <c r="C5" s="36" t="s">
        <v>79</v>
      </c>
      <c r="D5" s="36" t="s">
        <v>80</v>
      </c>
      <c r="E5" s="37" t="s">
        <v>47</v>
      </c>
      <c r="F5" s="84" t="s">
        <v>76</v>
      </c>
      <c r="G5" s="91"/>
      <c r="H5" s="36" t="s">
        <v>81</v>
      </c>
      <c r="I5" s="42" t="s">
        <v>49</v>
      </c>
      <c r="J5" s="42" t="s">
        <v>50</v>
      </c>
      <c r="K5" s="36" t="s">
        <v>203</v>
      </c>
      <c r="L5" s="36" t="s">
        <v>204</v>
      </c>
    </row>
    <row r="6" spans="2:12" ht="21">
      <c r="B6" s="35"/>
      <c r="C6" s="36"/>
      <c r="D6" s="36"/>
      <c r="E6" s="37"/>
      <c r="F6" s="37" t="s">
        <v>51</v>
      </c>
      <c r="G6" s="35" t="s">
        <v>52</v>
      </c>
      <c r="H6" s="37"/>
      <c r="I6" s="42"/>
      <c r="J6" s="48"/>
      <c r="K6" s="48"/>
      <c r="L6" s="28"/>
    </row>
    <row r="7" spans="2:12" ht="30.75">
      <c r="B7" s="100" t="s">
        <v>205</v>
      </c>
      <c r="C7" s="95">
        <v>0.1</v>
      </c>
      <c r="D7" s="95">
        <v>0.1</v>
      </c>
      <c r="E7" s="38" t="s">
        <v>206</v>
      </c>
      <c r="F7" s="44">
        <v>0</v>
      </c>
      <c r="G7" s="51">
        <v>0.1</v>
      </c>
      <c r="H7" s="45">
        <f>G7/D$7</f>
        <v>1</v>
      </c>
      <c r="I7" s="46">
        <v>1</v>
      </c>
      <c r="J7" s="50" t="s">
        <v>207</v>
      </c>
      <c r="K7" s="60">
        <f>F7/Info!H$3</f>
        <v>0</v>
      </c>
      <c r="L7" s="61">
        <f>G7/Info!H$3</f>
        <v>9.9913802364424171E-3</v>
      </c>
    </row>
    <row r="8" spans="2:12" ht="18.75">
      <c r="B8" s="100"/>
      <c r="C8" s="95"/>
      <c r="D8" s="95"/>
      <c r="E8" s="39" t="s">
        <v>208</v>
      </c>
      <c r="F8" s="44">
        <v>0</v>
      </c>
      <c r="G8" s="51">
        <v>0.28999999999999998</v>
      </c>
      <c r="H8" s="45">
        <f>G8/D$7</f>
        <v>2.8999999999999995</v>
      </c>
      <c r="I8" s="46">
        <v>2</v>
      </c>
      <c r="J8" s="41"/>
      <c r="K8" s="60">
        <f>F8/Info!H$3</f>
        <v>0</v>
      </c>
      <c r="L8" s="61">
        <f>G8/Info!H$3</f>
        <v>2.8975002685683007E-2</v>
      </c>
    </row>
    <row r="9" spans="2:12" ht="18.75">
      <c r="B9" s="100"/>
      <c r="C9" s="95"/>
      <c r="D9" s="95"/>
      <c r="E9" s="39"/>
      <c r="F9" s="44"/>
      <c r="G9" s="45"/>
      <c r="H9" s="45"/>
      <c r="I9" s="46"/>
      <c r="J9" s="28"/>
      <c r="K9" s="28"/>
      <c r="L9" s="28"/>
    </row>
    <row r="10" spans="2:12" ht="18.75">
      <c r="B10" s="100"/>
      <c r="C10" s="95"/>
      <c r="D10" s="95"/>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L10"/>
  <sheetViews>
    <sheetView zoomScaleNormal="100" workbookViewId="0">
      <selection activeCell="G8" sqref="G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c r="B2" s="40" t="s">
        <v>209</v>
      </c>
    </row>
    <row r="4" spans="2:12">
      <c r="F4" s="40"/>
    </row>
    <row r="5" spans="2:12" ht="56.25">
      <c r="B5" s="35" t="s">
        <v>46</v>
      </c>
      <c r="C5" s="36" t="s">
        <v>79</v>
      </c>
      <c r="D5" s="36" t="s">
        <v>80</v>
      </c>
      <c r="E5" s="37" t="s">
        <v>47</v>
      </c>
      <c r="F5" s="84" t="s">
        <v>76</v>
      </c>
      <c r="G5" s="91"/>
      <c r="H5" s="36" t="s">
        <v>81</v>
      </c>
      <c r="I5" s="42" t="s">
        <v>49</v>
      </c>
      <c r="J5" s="42" t="s">
        <v>50</v>
      </c>
      <c r="K5" s="36" t="s">
        <v>203</v>
      </c>
      <c r="L5" s="36" t="s">
        <v>204</v>
      </c>
    </row>
    <row r="6" spans="2:12" ht="21">
      <c r="B6" s="35"/>
      <c r="C6" s="36"/>
      <c r="D6" s="36"/>
      <c r="E6" s="37"/>
      <c r="F6" s="37" t="s">
        <v>51</v>
      </c>
      <c r="G6" s="35" t="s">
        <v>52</v>
      </c>
      <c r="H6" s="37"/>
      <c r="I6" s="42"/>
      <c r="J6" s="48"/>
      <c r="K6" s="48"/>
      <c r="L6" s="28"/>
    </row>
    <row r="7" spans="2:12" ht="18.75">
      <c r="B7" s="100" t="s">
        <v>210</v>
      </c>
      <c r="C7" s="95">
        <v>0.1</v>
      </c>
      <c r="D7" s="95">
        <v>0.1</v>
      </c>
      <c r="E7" s="38" t="s">
        <v>206</v>
      </c>
      <c r="F7" s="44">
        <v>0</v>
      </c>
      <c r="G7" s="51">
        <v>0.1</v>
      </c>
      <c r="H7" s="45">
        <f>G7/D$7</f>
        <v>1</v>
      </c>
      <c r="I7" s="46">
        <v>1</v>
      </c>
      <c r="J7" s="41" t="s">
        <v>211</v>
      </c>
      <c r="K7" s="60">
        <f>F7/Info!H$3</f>
        <v>0</v>
      </c>
      <c r="L7" s="61">
        <f>G7/Info!H$3</f>
        <v>9.9913802364424171E-3</v>
      </c>
    </row>
    <row r="8" spans="2:12" ht="18.75">
      <c r="B8" s="100"/>
      <c r="C8" s="95"/>
      <c r="D8" s="95"/>
      <c r="E8" s="39" t="s">
        <v>208</v>
      </c>
      <c r="F8" s="44">
        <v>0</v>
      </c>
      <c r="G8" s="51">
        <v>0.28999999999999998</v>
      </c>
      <c r="H8" s="45">
        <f>G8/D$7</f>
        <v>2.8999999999999995</v>
      </c>
      <c r="I8" s="46">
        <v>2</v>
      </c>
      <c r="J8" s="41" t="s">
        <v>211</v>
      </c>
      <c r="K8" s="60">
        <f>F8/Info!H$3</f>
        <v>0</v>
      </c>
      <c r="L8" s="61">
        <f>G8/Info!H$3</f>
        <v>2.8975002685683007E-2</v>
      </c>
    </row>
    <row r="9" spans="2:12" ht="18.75">
      <c r="B9" s="100"/>
      <c r="C9" s="95"/>
      <c r="D9" s="95"/>
      <c r="E9" s="39"/>
      <c r="F9" s="44"/>
      <c r="G9" s="45"/>
      <c r="H9" s="45"/>
      <c r="I9" s="46"/>
      <c r="J9" s="28"/>
      <c r="K9" s="28"/>
      <c r="L9" s="28"/>
    </row>
    <row r="10" spans="2:12" ht="18.75">
      <c r="B10" s="100"/>
      <c r="C10" s="95"/>
      <c r="D10" s="95"/>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N10"/>
  <sheetViews>
    <sheetView zoomScaleNormal="100" workbookViewId="0">
      <selection activeCell="E8" sqref="E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10" width="16.7109375" style="15" customWidth="1"/>
    <col min="11" max="11" width="19.85546875" style="15" customWidth="1"/>
    <col min="12" max="12" width="53.42578125" style="15" customWidth="1"/>
    <col min="13" max="14" width="10.85546875" style="15" customWidth="1"/>
    <col min="15" max="16384" width="9.140625" style="15"/>
  </cols>
  <sheetData>
    <row r="2" spans="2:14">
      <c r="B2" s="40" t="s">
        <v>209</v>
      </c>
    </row>
    <row r="4" spans="2:14">
      <c r="F4" s="40"/>
    </row>
    <row r="5" spans="2:14" ht="56.25">
      <c r="B5" s="35" t="s">
        <v>46</v>
      </c>
      <c r="C5" s="36" t="s">
        <v>79</v>
      </c>
      <c r="D5" s="36" t="s">
        <v>80</v>
      </c>
      <c r="E5" s="37" t="s">
        <v>47</v>
      </c>
      <c r="F5" s="84" t="s">
        <v>76</v>
      </c>
      <c r="G5" s="91"/>
      <c r="H5" s="36" t="s">
        <v>81</v>
      </c>
      <c r="I5" s="36"/>
      <c r="J5" s="36"/>
      <c r="K5" s="42" t="s">
        <v>49</v>
      </c>
      <c r="L5" s="42" t="s">
        <v>50</v>
      </c>
      <c r="M5" s="36" t="s">
        <v>203</v>
      </c>
      <c r="N5" s="36" t="s">
        <v>204</v>
      </c>
    </row>
    <row r="6" spans="2:14" ht="21">
      <c r="B6" s="35"/>
      <c r="C6" s="36"/>
      <c r="D6" s="36"/>
      <c r="E6" s="37"/>
      <c r="F6" s="37" t="s">
        <v>51</v>
      </c>
      <c r="G6" s="35" t="s">
        <v>52</v>
      </c>
      <c r="H6" s="37"/>
      <c r="I6" s="37"/>
      <c r="J6" s="37"/>
      <c r="K6" s="42"/>
      <c r="L6" s="48"/>
      <c r="M6" s="48"/>
      <c r="N6" s="28"/>
    </row>
    <row r="7" spans="2:14" ht="18.75">
      <c r="B7" s="100" t="s">
        <v>212</v>
      </c>
      <c r="C7" s="95">
        <v>0.1</v>
      </c>
      <c r="D7" s="95">
        <v>0.1</v>
      </c>
      <c r="E7" s="38" t="s">
        <v>213</v>
      </c>
      <c r="F7" s="44">
        <v>0</v>
      </c>
      <c r="G7" s="51">
        <v>0.1</v>
      </c>
      <c r="H7" s="51">
        <v>0.1</v>
      </c>
      <c r="I7" s="51"/>
      <c r="J7" s="51"/>
      <c r="K7" s="46">
        <v>1</v>
      </c>
      <c r="L7" s="41" t="s">
        <v>214</v>
      </c>
      <c r="M7" s="60">
        <f>F7/Info!H$3</f>
        <v>0</v>
      </c>
      <c r="N7" s="61">
        <f>G7/Info!H$3</f>
        <v>9.9913802364424171E-3</v>
      </c>
    </row>
    <row r="8" spans="2:14" ht="18.75">
      <c r="B8" s="100"/>
      <c r="C8" s="95"/>
      <c r="D8" s="95"/>
      <c r="E8" s="39" t="s">
        <v>208</v>
      </c>
      <c r="F8" s="44">
        <v>0</v>
      </c>
      <c r="G8" s="51">
        <v>0.15</v>
      </c>
      <c r="H8" s="51">
        <v>0.15</v>
      </c>
      <c r="I8" s="51"/>
      <c r="J8" s="51"/>
      <c r="K8" s="46">
        <v>2</v>
      </c>
      <c r="L8" s="41" t="s">
        <v>214</v>
      </c>
      <c r="M8" s="60">
        <f>F8/Info!H$3</f>
        <v>0</v>
      </c>
      <c r="N8" s="61">
        <f>G8/Info!H$3</f>
        <v>1.4987070354663625E-2</v>
      </c>
    </row>
    <row r="9" spans="2:14" ht="18.75">
      <c r="B9" s="100"/>
      <c r="C9" s="95"/>
      <c r="D9" s="95"/>
      <c r="E9" s="39"/>
      <c r="F9" s="44"/>
      <c r="G9" s="45"/>
      <c r="H9" s="45"/>
      <c r="I9" s="45"/>
      <c r="J9" s="45"/>
      <c r="K9" s="46"/>
      <c r="L9" s="28"/>
      <c r="M9" s="28"/>
      <c r="N9" s="28"/>
    </row>
    <row r="10" spans="2:14" ht="18.75">
      <c r="B10" s="100"/>
      <c r="C10" s="95"/>
      <c r="D10" s="95"/>
      <c r="E10" s="39"/>
      <c r="F10" s="44"/>
      <c r="G10" s="45"/>
      <c r="H10" s="45"/>
      <c r="I10" s="45"/>
      <c r="J10" s="45"/>
      <c r="K10" s="46"/>
      <c r="L10" s="28"/>
      <c r="M10" s="28"/>
      <c r="N10" s="28"/>
    </row>
  </sheetData>
  <mergeCells count="4">
    <mergeCell ref="F5:G5"/>
    <mergeCell ref="B7:B10"/>
    <mergeCell ref="C7:C10"/>
    <mergeCell ref="D7:D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3"/>
  <sheetViews>
    <sheetView topLeftCell="A4" zoomScaleNormal="100" workbookViewId="0">
      <selection activeCell="C7" sqref="C7"/>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11.42578125" style="15" customWidth="1"/>
    <col min="6" max="6" width="23.42578125" style="15" customWidth="1"/>
    <col min="7" max="7" width="37.42578125" style="15" customWidth="1"/>
    <col min="8" max="8" width="19.85546875" style="15" customWidth="1"/>
    <col min="9" max="9" width="42.7109375" style="15" customWidth="1"/>
    <col min="10" max="11" width="12.7109375" style="15" customWidth="1"/>
    <col min="12" max="16384" width="9.140625" style="15"/>
  </cols>
  <sheetData>
    <row r="2" spans="2:9" ht="15.75">
      <c r="C2" s="62" t="s">
        <v>41</v>
      </c>
      <c r="D2" s="64">
        <v>0.26198062393930399</v>
      </c>
      <c r="E2" s="62" t="s">
        <v>3</v>
      </c>
      <c r="I2" s="40" t="s">
        <v>42</v>
      </c>
    </row>
    <row r="3" spans="2:9" ht="15.75">
      <c r="C3" s="62" t="s">
        <v>43</v>
      </c>
      <c r="D3" s="63">
        <v>393</v>
      </c>
      <c r="E3" s="62" t="s">
        <v>44</v>
      </c>
      <c r="I3" s="40" t="s">
        <v>45</v>
      </c>
    </row>
    <row r="4" spans="2:9">
      <c r="D4" s="40"/>
    </row>
    <row r="5" spans="2:9" ht="56.25" customHeight="1">
      <c r="B5" s="35" t="s">
        <v>46</v>
      </c>
      <c r="C5" s="37" t="s">
        <v>47</v>
      </c>
      <c r="D5" s="84" t="s">
        <v>48</v>
      </c>
      <c r="E5" s="85"/>
      <c r="F5" s="42" t="s">
        <v>49</v>
      </c>
      <c r="G5" s="42" t="s">
        <v>50</v>
      </c>
    </row>
    <row r="6" spans="2:9" ht="21">
      <c r="B6" s="35"/>
      <c r="C6" s="37"/>
      <c r="D6" s="37" t="s">
        <v>51</v>
      </c>
      <c r="E6" s="43" t="s">
        <v>52</v>
      </c>
      <c r="F6" s="42"/>
      <c r="G6" s="28"/>
    </row>
    <row r="7" spans="2:9" ht="18.75" customHeight="1">
      <c r="B7" s="86" t="s">
        <v>53</v>
      </c>
      <c r="C7" s="38" t="s">
        <v>54</v>
      </c>
      <c r="D7" s="51">
        <v>0</v>
      </c>
      <c r="E7" s="61">
        <f>D2</f>
        <v>0.26198062393930399</v>
      </c>
      <c r="F7" s="46">
        <v>1</v>
      </c>
      <c r="G7" s="41"/>
    </row>
    <row r="8" spans="2:9" ht="30.75">
      <c r="B8" s="86"/>
      <c r="C8" s="39" t="s">
        <v>55</v>
      </c>
      <c r="D8" s="51">
        <v>0</v>
      </c>
      <c r="E8" s="61">
        <f>D2*450/D3</f>
        <v>0.29997781367095877</v>
      </c>
      <c r="F8" s="46">
        <v>2</v>
      </c>
      <c r="G8" s="50"/>
    </row>
    <row r="13" spans="2:9">
      <c r="E13" s="76"/>
    </row>
  </sheetData>
  <mergeCells count="2">
    <mergeCell ref="D5:E5"/>
    <mergeCell ref="B7:B8"/>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K11"/>
  <sheetViews>
    <sheetView topLeftCell="A7" zoomScaleNormal="100" workbookViewId="0">
      <selection activeCell="G11" sqref="G11"/>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5.140625" style="15" customWidth="1"/>
    <col min="6" max="6" width="9.85546875" style="15" customWidth="1"/>
    <col min="7" max="7" width="9.28515625" style="15" customWidth="1"/>
    <col min="8" max="9" width="8.5703125" style="15" customWidth="1"/>
    <col min="10" max="10" width="19.85546875" style="15" customWidth="1"/>
    <col min="11" max="11" width="53.42578125" style="15" customWidth="1"/>
    <col min="12" max="16384" width="9.140625" style="15"/>
  </cols>
  <sheetData>
    <row r="2" spans="2:11">
      <c r="B2" s="40" t="s">
        <v>209</v>
      </c>
    </row>
    <row r="4" spans="2:11">
      <c r="F4" s="40"/>
    </row>
    <row r="5" spans="2:11" ht="78" customHeight="1">
      <c r="B5" s="35" t="s">
        <v>46</v>
      </c>
      <c r="C5" s="36" t="s">
        <v>79</v>
      </c>
      <c r="D5" s="36" t="s">
        <v>80</v>
      </c>
      <c r="E5" s="37" t="s">
        <v>47</v>
      </c>
      <c r="F5" s="84" t="s">
        <v>215</v>
      </c>
      <c r="G5" s="85"/>
      <c r="H5" s="101" t="s">
        <v>216</v>
      </c>
      <c r="I5" s="102"/>
      <c r="J5" s="42" t="s">
        <v>49</v>
      </c>
      <c r="K5" s="42" t="s">
        <v>50</v>
      </c>
    </row>
    <row r="6" spans="2:11" ht="21">
      <c r="B6" s="78"/>
      <c r="C6" s="79"/>
      <c r="D6" s="79"/>
      <c r="E6" s="37"/>
      <c r="F6" s="37" t="s">
        <v>51</v>
      </c>
      <c r="G6" s="35" t="s">
        <v>52</v>
      </c>
      <c r="H6" s="36" t="s">
        <v>51</v>
      </c>
      <c r="I6" s="36" t="s">
        <v>52</v>
      </c>
      <c r="J6" s="42"/>
      <c r="K6" s="48"/>
    </row>
    <row r="7" spans="2:11" ht="45.75">
      <c r="B7" s="92" t="s">
        <v>217</v>
      </c>
      <c r="C7" s="96">
        <v>0.1</v>
      </c>
      <c r="D7" s="96">
        <v>0.1026</v>
      </c>
      <c r="E7" s="39" t="s">
        <v>122</v>
      </c>
      <c r="F7" s="80">
        <f>F8*G7/G8</f>
        <v>122.66236303080768</v>
      </c>
      <c r="G7" s="80">
        <v>210.60400000000001</v>
      </c>
      <c r="H7" s="80">
        <f t="shared" ref="H7" si="0">H8/1.3</f>
        <v>0</v>
      </c>
      <c r="I7" s="80">
        <f>I8*G7/G8</f>
        <v>0.78735383846794349</v>
      </c>
      <c r="J7" s="46">
        <v>1</v>
      </c>
      <c r="K7" s="50" t="s">
        <v>218</v>
      </c>
    </row>
    <row r="8" spans="2:11" ht="18.75" customHeight="1">
      <c r="B8" s="93"/>
      <c r="C8" s="97"/>
      <c r="D8" s="97"/>
      <c r="E8" s="39" t="s">
        <v>124</v>
      </c>
      <c r="F8" s="59">
        <v>139.9</v>
      </c>
      <c r="G8" s="51">
        <v>240.2</v>
      </c>
      <c r="H8" s="51">
        <v>0</v>
      </c>
      <c r="I8" s="51">
        <v>0.89800000000000002</v>
      </c>
      <c r="J8" s="46">
        <v>2</v>
      </c>
      <c r="K8" s="41" t="s">
        <v>219</v>
      </c>
    </row>
    <row r="9" spans="2:11" ht="33" customHeight="1">
      <c r="B9" s="93"/>
      <c r="C9" s="97"/>
      <c r="D9" s="97"/>
      <c r="E9" s="50" t="s">
        <v>126</v>
      </c>
      <c r="F9" s="59">
        <v>171.1</v>
      </c>
      <c r="G9" s="51">
        <v>338.5</v>
      </c>
      <c r="H9" s="51">
        <v>0</v>
      </c>
      <c r="I9" s="51">
        <v>1.161</v>
      </c>
      <c r="J9" s="46">
        <v>3</v>
      </c>
      <c r="K9" s="50" t="s">
        <v>220</v>
      </c>
    </row>
    <row r="10" spans="2:11" ht="30.75">
      <c r="B10" s="93"/>
      <c r="C10" s="97"/>
      <c r="D10" s="97"/>
      <c r="E10" s="50" t="s">
        <v>221</v>
      </c>
      <c r="F10" s="59">
        <f>F9*G10/G9</f>
        <v>185.48048744460857</v>
      </c>
      <c r="G10" s="51">
        <v>366.95</v>
      </c>
      <c r="H10" s="51">
        <v>0</v>
      </c>
      <c r="I10" s="51">
        <f>I9*G10/G9</f>
        <v>1.2585788774002955</v>
      </c>
      <c r="J10" s="46">
        <v>4</v>
      </c>
      <c r="K10" s="41" t="s">
        <v>222</v>
      </c>
    </row>
    <row r="11" spans="2:11" ht="30.75">
      <c r="B11" s="94"/>
      <c r="C11" s="98"/>
      <c r="D11" s="98"/>
      <c r="E11" s="50" t="s">
        <v>129</v>
      </c>
      <c r="F11" s="59">
        <f>F10*($D7+0.018)/$D7</f>
        <v>218.02092383839957</v>
      </c>
      <c r="G11" s="51">
        <f t="shared" ref="G11:I11" si="1">G10*($D7+0.018)/$D7</f>
        <v>431.3271929824561</v>
      </c>
      <c r="H11" s="51">
        <f t="shared" si="1"/>
        <v>0</v>
      </c>
      <c r="I11" s="51">
        <f t="shared" si="1"/>
        <v>1.4793821892249086</v>
      </c>
      <c r="J11" s="46">
        <v>5</v>
      </c>
      <c r="K11" s="41" t="s">
        <v>223</v>
      </c>
    </row>
  </sheetData>
  <mergeCells count="5">
    <mergeCell ref="F5:G5"/>
    <mergeCell ref="H5:I5"/>
    <mergeCell ref="D7:D11"/>
    <mergeCell ref="C7:C11"/>
    <mergeCell ref="B7:B1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K12"/>
  <sheetViews>
    <sheetView topLeftCell="A7" zoomScaleNormal="100" workbookViewId="0">
      <selection activeCell="G9" sqref="G9"/>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5.140625" style="15" customWidth="1"/>
    <col min="6" max="6" width="9.85546875" style="15" customWidth="1"/>
    <col min="7" max="7" width="9.28515625" style="15" customWidth="1"/>
    <col min="8" max="9" width="8.5703125" style="15" customWidth="1"/>
    <col min="10" max="10" width="19.85546875" style="15" customWidth="1"/>
    <col min="11" max="11" width="53.42578125" style="15" customWidth="1"/>
    <col min="12" max="16384" width="9.140625" style="15"/>
  </cols>
  <sheetData>
    <row r="2" spans="2:11">
      <c r="B2" s="40" t="s">
        <v>209</v>
      </c>
    </row>
    <row r="4" spans="2:11">
      <c r="F4" s="40"/>
    </row>
    <row r="5" spans="2:11" ht="78" customHeight="1">
      <c r="B5" s="35" t="s">
        <v>46</v>
      </c>
      <c r="C5" s="36" t="s">
        <v>79</v>
      </c>
      <c r="D5" s="36" t="s">
        <v>80</v>
      </c>
      <c r="E5" s="37" t="s">
        <v>47</v>
      </c>
      <c r="F5" s="84" t="s">
        <v>215</v>
      </c>
      <c r="G5" s="85"/>
      <c r="H5" s="101" t="s">
        <v>216</v>
      </c>
      <c r="I5" s="102"/>
      <c r="J5" s="42" t="s">
        <v>49</v>
      </c>
      <c r="K5" s="42" t="s">
        <v>50</v>
      </c>
    </row>
    <row r="6" spans="2:11" ht="21">
      <c r="B6" s="78"/>
      <c r="C6" s="79"/>
      <c r="D6" s="79"/>
      <c r="E6" s="37"/>
      <c r="F6" s="37" t="s">
        <v>51</v>
      </c>
      <c r="G6" s="35" t="s">
        <v>52</v>
      </c>
      <c r="H6" s="36" t="s">
        <v>51</v>
      </c>
      <c r="I6" s="36" t="s">
        <v>52</v>
      </c>
      <c r="J6" s="42"/>
      <c r="K6" s="48"/>
    </row>
    <row r="7" spans="2:11" ht="30.75">
      <c r="B7" s="92" t="s">
        <v>224</v>
      </c>
      <c r="C7" s="96">
        <v>0.1</v>
      </c>
      <c r="D7" s="96">
        <v>0.1026</v>
      </c>
      <c r="E7" s="39" t="s">
        <v>122</v>
      </c>
      <c r="F7" s="80">
        <f>Sdend_Comb_Coupled!F7*Sd_Comb_Coupled!G7/Sdend_Comb_Coupled!G7</f>
        <v>111.92617377185681</v>
      </c>
      <c r="G7" s="80">
        <v>192.17060000000001</v>
      </c>
      <c r="H7" s="80">
        <v>0</v>
      </c>
      <c r="I7" s="80">
        <f>Sdend_Comb_Coupled!I7*Sd_Comb_Coupled!G7/Sdend_Comb_Coupled!G7</f>
        <v>0.71843962864279776</v>
      </c>
      <c r="J7" s="46">
        <v>1</v>
      </c>
      <c r="K7" s="50" t="s">
        <v>225</v>
      </c>
    </row>
    <row r="8" spans="2:11" ht="30.75" customHeight="1">
      <c r="B8" s="93"/>
      <c r="C8" s="97"/>
      <c r="D8" s="97"/>
      <c r="E8" s="39" t="s">
        <v>124</v>
      </c>
      <c r="F8" s="59">
        <f>Sdend_Comb_Coupled!F8/Sdend_Comb_Coupled!G8*Sd_Comb_Coupled!G8</f>
        <v>124.18250874271442</v>
      </c>
      <c r="G8" s="51">
        <v>213.214</v>
      </c>
      <c r="H8" s="51">
        <v>0</v>
      </c>
      <c r="I8" s="51">
        <f>Sdend_Comb_Coupled!I8/Sdend_Comb_Coupled!G8*Sd_Comb_Coupled!G8</f>
        <v>0.7971114571190675</v>
      </c>
      <c r="J8" s="46">
        <v>2</v>
      </c>
      <c r="K8" s="50" t="s">
        <v>225</v>
      </c>
    </row>
    <row r="9" spans="2:11" ht="33" customHeight="1">
      <c r="B9" s="93"/>
      <c r="C9" s="97"/>
      <c r="D9" s="97"/>
      <c r="E9" s="50" t="s">
        <v>126</v>
      </c>
      <c r="F9" s="59">
        <f>Sdend_Comb_Coupled!F9</f>
        <v>171.1</v>
      </c>
      <c r="G9" s="59">
        <f>Sdend_Comb_Coupled!G9</f>
        <v>338.5</v>
      </c>
      <c r="H9" s="59">
        <f>Sdend_Comb_Coupled!H9</f>
        <v>0</v>
      </c>
      <c r="I9" s="59">
        <f>Sdend_Comb_Coupled!I9</f>
        <v>1.161</v>
      </c>
      <c r="J9" s="46">
        <v>3</v>
      </c>
      <c r="K9" s="50" t="s">
        <v>226</v>
      </c>
    </row>
    <row r="10" spans="2:11" ht="30.75">
      <c r="B10" s="93"/>
      <c r="C10" s="97"/>
      <c r="D10" s="97"/>
      <c r="E10" s="50" t="s">
        <v>221</v>
      </c>
      <c r="F10" s="59">
        <f>Sdend_Comb_Coupled!F10</f>
        <v>185.48048744460857</v>
      </c>
      <c r="G10" s="59">
        <f>Sdend_Comb_Coupled!G10</f>
        <v>366.95</v>
      </c>
      <c r="H10" s="59">
        <f>Sdend_Comb_Coupled!H10</f>
        <v>0</v>
      </c>
      <c r="I10" s="59">
        <f>Sdend_Comb_Coupled!I10</f>
        <v>1.2585788774002955</v>
      </c>
      <c r="J10" s="46">
        <v>4</v>
      </c>
      <c r="K10" s="50" t="s">
        <v>226</v>
      </c>
    </row>
    <row r="11" spans="2:11" ht="30.75">
      <c r="B11" s="93"/>
      <c r="C11" s="97"/>
      <c r="D11" s="97"/>
      <c r="E11" s="50" t="s">
        <v>227</v>
      </c>
      <c r="F11" s="59">
        <f>F10*($D7+0.035)/$D7</f>
        <v>248.75355821031326</v>
      </c>
      <c r="G11" s="59">
        <f t="shared" ref="G11:I11" si="0">G10*($D7+0.035)/$D7</f>
        <v>492.12787524366473</v>
      </c>
      <c r="H11" s="59">
        <f t="shared" si="0"/>
        <v>0</v>
      </c>
      <c r="I11" s="59">
        <f t="shared" si="0"/>
        <v>1.6879186503925991</v>
      </c>
      <c r="J11" s="46">
        <v>5</v>
      </c>
      <c r="K11" s="41" t="s">
        <v>223</v>
      </c>
    </row>
    <row r="12" spans="2:11" ht="45.75">
      <c r="B12" s="94"/>
      <c r="C12" s="98"/>
      <c r="D12" s="98"/>
      <c r="E12" s="50" t="s">
        <v>228</v>
      </c>
      <c r="F12" s="59">
        <f>F10*($D7+0.0875)/$D7</f>
        <v>343.66316435887029</v>
      </c>
      <c r="G12" s="59">
        <f t="shared" ref="G12:I12" si="1">G10*($D7+0.0875)/$D7</f>
        <v>679.89468810916173</v>
      </c>
      <c r="H12" s="59">
        <f t="shared" si="1"/>
        <v>0</v>
      </c>
      <c r="I12" s="59">
        <f t="shared" si="1"/>
        <v>2.3319283098810546</v>
      </c>
      <c r="J12" s="46">
        <v>10</v>
      </c>
      <c r="K12" s="41"/>
    </row>
  </sheetData>
  <mergeCells count="5">
    <mergeCell ref="F5:G5"/>
    <mergeCell ref="H5:I5"/>
    <mergeCell ref="B7:B12"/>
    <mergeCell ref="C7:C12"/>
    <mergeCell ref="D7:D12"/>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5:M67"/>
  <sheetViews>
    <sheetView workbookViewId="0">
      <selection activeCell="G17" sqref="G17"/>
    </sheetView>
  </sheetViews>
  <sheetFormatPr defaultRowHeight="15"/>
  <cols>
    <col min="2" max="2" width="30.42578125" customWidth="1"/>
    <col min="3" max="3" width="8.7109375" bestFit="1" customWidth="1"/>
    <col min="4" max="4" width="43.42578125" bestFit="1" customWidth="1"/>
    <col min="5" max="6" width="10.7109375" customWidth="1"/>
    <col min="7" max="8" width="8.7109375" customWidth="1"/>
    <col min="9" max="9" width="54.7109375" bestFit="1" customWidth="1"/>
  </cols>
  <sheetData>
    <row r="5" spans="2:13" ht="56.25">
      <c r="B5" s="16" t="s">
        <v>46</v>
      </c>
      <c r="C5" s="17" t="s">
        <v>79</v>
      </c>
      <c r="D5" s="31" t="s">
        <v>47</v>
      </c>
      <c r="E5" s="103" t="s">
        <v>229</v>
      </c>
      <c r="F5" s="104"/>
      <c r="G5" s="105" t="s">
        <v>230</v>
      </c>
      <c r="H5" s="106"/>
      <c r="I5" s="15"/>
      <c r="J5" s="15"/>
      <c r="K5" s="15"/>
      <c r="L5" s="15"/>
      <c r="M5" s="15"/>
    </row>
    <row r="6" spans="2:13">
      <c r="B6" s="107" t="s">
        <v>95</v>
      </c>
      <c r="C6" s="107">
        <v>0.15</v>
      </c>
      <c r="D6" s="18" t="s">
        <v>96</v>
      </c>
      <c r="E6" s="12">
        <v>6.1836006440000002</v>
      </c>
      <c r="F6" s="19" t="s">
        <v>57</v>
      </c>
      <c r="G6" s="14">
        <f>E6/C$6</f>
        <v>41.224004293333337</v>
      </c>
      <c r="H6" s="13" t="s">
        <v>59</v>
      </c>
      <c r="I6" s="15"/>
      <c r="J6" s="15"/>
      <c r="K6" s="15"/>
      <c r="L6" s="15"/>
      <c r="M6" s="15"/>
    </row>
    <row r="7" spans="2:13" ht="30">
      <c r="B7" s="107"/>
      <c r="C7" s="107"/>
      <c r="D7" s="11" t="s">
        <v>97</v>
      </c>
      <c r="E7" s="12">
        <v>6.4341176859100697</v>
      </c>
      <c r="F7" s="19" t="s">
        <v>57</v>
      </c>
      <c r="G7" s="14">
        <f t="shared" ref="G7:G12" si="0">E7/C$6</f>
        <v>42.89411790606713</v>
      </c>
      <c r="H7" s="13" t="s">
        <v>59</v>
      </c>
      <c r="I7" s="15"/>
      <c r="J7" s="15"/>
      <c r="K7" s="15"/>
      <c r="L7" s="15"/>
      <c r="M7" s="15"/>
    </row>
    <row r="8" spans="2:13" ht="30">
      <c r="B8" s="107"/>
      <c r="C8" s="107"/>
      <c r="D8" s="11" t="s">
        <v>90</v>
      </c>
      <c r="E8" s="12">
        <v>6.8170688836236701</v>
      </c>
      <c r="F8" s="19" t="s">
        <v>57</v>
      </c>
      <c r="G8" s="14">
        <f t="shared" si="0"/>
        <v>45.447125890824466</v>
      </c>
      <c r="H8" s="13" t="s">
        <v>59</v>
      </c>
      <c r="I8" s="15"/>
      <c r="J8" s="15"/>
      <c r="K8" s="15"/>
      <c r="L8" s="15"/>
      <c r="M8" s="15"/>
    </row>
    <row r="9" spans="2:13" ht="30">
      <c r="B9" s="107"/>
      <c r="C9" s="107"/>
      <c r="D9" s="11" t="s">
        <v>91</v>
      </c>
      <c r="E9" s="12">
        <v>7.5046138846427999</v>
      </c>
      <c r="F9" s="19" t="s">
        <v>57</v>
      </c>
      <c r="G9" s="14">
        <f t="shared" si="0"/>
        <v>50.030759230952</v>
      </c>
      <c r="H9" s="13" t="s">
        <v>59</v>
      </c>
      <c r="I9" s="15"/>
      <c r="J9" s="15"/>
      <c r="K9" s="15"/>
      <c r="L9" s="15"/>
      <c r="M9" s="15"/>
    </row>
    <row r="10" spans="2:13" ht="30">
      <c r="B10" s="107"/>
      <c r="C10" s="107"/>
      <c r="D10" s="11" t="s">
        <v>92</v>
      </c>
      <c r="E10" s="12">
        <v>7.9447987100000006</v>
      </c>
      <c r="F10" s="19" t="s">
        <v>57</v>
      </c>
      <c r="G10" s="14">
        <f t="shared" si="0"/>
        <v>52.96532473333334</v>
      </c>
      <c r="H10" s="13" t="s">
        <v>59</v>
      </c>
      <c r="I10" s="15"/>
      <c r="J10" s="15"/>
      <c r="K10" s="15"/>
      <c r="L10" s="15"/>
      <c r="M10" s="15"/>
    </row>
    <row r="11" spans="2:13" ht="30">
      <c r="B11" s="107"/>
      <c r="C11" s="107"/>
      <c r="D11" s="11" t="s">
        <v>93</v>
      </c>
      <c r="E11" s="12">
        <v>8.8970471914285714</v>
      </c>
      <c r="F11" s="19" t="s">
        <v>57</v>
      </c>
      <c r="G11" s="14">
        <f t="shared" si="0"/>
        <v>59.313647942857145</v>
      </c>
      <c r="H11" s="13" t="s">
        <v>59</v>
      </c>
      <c r="I11" s="15"/>
      <c r="J11" s="15"/>
      <c r="K11" s="15"/>
      <c r="L11" s="15"/>
      <c r="M11" s="15"/>
    </row>
    <row r="12" spans="2:13" ht="30">
      <c r="B12" s="107"/>
      <c r="C12" s="107"/>
      <c r="D12" s="11" t="s">
        <v>94</v>
      </c>
      <c r="E12" s="12">
        <v>9.5500744285714294</v>
      </c>
      <c r="F12" s="19" t="s">
        <v>57</v>
      </c>
      <c r="G12" s="14">
        <f t="shared" si="0"/>
        <v>63.667162857142863</v>
      </c>
      <c r="H12" s="13" t="s">
        <v>59</v>
      </c>
      <c r="I12" s="15"/>
      <c r="J12" s="15"/>
      <c r="K12" s="15"/>
      <c r="L12" s="15"/>
      <c r="M12" s="15"/>
    </row>
    <row r="13" spans="2:13">
      <c r="B13" s="34"/>
      <c r="C13" s="34"/>
      <c r="D13" s="20"/>
      <c r="E13" s="21"/>
      <c r="F13" s="22"/>
      <c r="G13" s="21"/>
      <c r="H13" s="22"/>
      <c r="I13" s="15"/>
      <c r="J13" s="15"/>
      <c r="K13" s="15"/>
      <c r="L13" s="15"/>
      <c r="M13" s="15"/>
    </row>
    <row r="14" spans="2:13">
      <c r="B14" s="108" t="s">
        <v>87</v>
      </c>
      <c r="C14" s="108">
        <v>0.25</v>
      </c>
      <c r="D14" s="11" t="s">
        <v>88</v>
      </c>
      <c r="E14" s="12">
        <v>9.1746298235346497</v>
      </c>
      <c r="F14" s="13" t="s">
        <v>57</v>
      </c>
      <c r="G14" s="14">
        <f>E14/C$14</f>
        <v>36.698519294138599</v>
      </c>
      <c r="H14" s="13" t="s">
        <v>59</v>
      </c>
      <c r="I14" s="15"/>
      <c r="J14" s="15"/>
      <c r="K14" s="15"/>
      <c r="L14" s="15"/>
      <c r="M14" s="15"/>
    </row>
    <row r="15" spans="2:13" ht="30">
      <c r="B15" s="109"/>
      <c r="C15" s="109"/>
      <c r="D15" s="11" t="s">
        <v>231</v>
      </c>
      <c r="E15" s="12">
        <f>E14*0.25/0.15</f>
        <v>15.291049705891083</v>
      </c>
      <c r="F15" s="13" t="s">
        <v>57</v>
      </c>
      <c r="G15" s="14">
        <f>E15/C$14</f>
        <v>61.164198823564334</v>
      </c>
      <c r="H15" s="13" t="s">
        <v>59</v>
      </c>
      <c r="I15" s="15" t="s">
        <v>232</v>
      </c>
      <c r="J15" s="15"/>
      <c r="K15" s="15"/>
      <c r="L15" s="15"/>
      <c r="M15" s="15"/>
    </row>
    <row r="16" spans="2:13">
      <c r="B16" s="109"/>
      <c r="C16" s="109"/>
      <c r="D16" s="18"/>
      <c r="E16" s="14"/>
      <c r="F16" s="13"/>
      <c r="G16" s="14"/>
      <c r="H16" s="13"/>
      <c r="I16" s="15"/>
      <c r="J16" s="15"/>
      <c r="K16" s="15"/>
      <c r="L16" s="15"/>
      <c r="M16" s="15"/>
    </row>
    <row r="17" spans="2:13">
      <c r="B17" s="32"/>
      <c r="C17" s="32"/>
      <c r="D17" s="18"/>
      <c r="E17" s="14"/>
      <c r="F17" s="13"/>
      <c r="G17" s="14"/>
      <c r="H17" s="13"/>
      <c r="I17" s="15"/>
      <c r="J17" s="15"/>
      <c r="K17" s="15"/>
      <c r="L17" s="15"/>
      <c r="M17" s="15"/>
    </row>
    <row r="18" spans="2:13">
      <c r="B18" s="108" t="s">
        <v>119</v>
      </c>
      <c r="C18" s="108">
        <v>0.1</v>
      </c>
      <c r="D18" s="18" t="s">
        <v>120</v>
      </c>
      <c r="E18" s="23">
        <f>170.755</f>
        <v>170.755</v>
      </c>
      <c r="F18" s="13" t="s">
        <v>3</v>
      </c>
      <c r="G18" s="23">
        <f>E18/C$18</f>
        <v>1707.55</v>
      </c>
      <c r="H18" s="13" t="s">
        <v>233</v>
      </c>
      <c r="I18" s="15"/>
      <c r="J18" s="15"/>
      <c r="K18" s="15"/>
      <c r="L18" s="15"/>
      <c r="M18" s="15"/>
    </row>
    <row r="19" spans="2:13">
      <c r="B19" s="109"/>
      <c r="C19" s="109"/>
      <c r="D19" s="11" t="s">
        <v>121</v>
      </c>
      <c r="E19" s="23">
        <f>2.44*82</f>
        <v>200.07999999999998</v>
      </c>
      <c r="F19" s="13" t="s">
        <v>3</v>
      </c>
      <c r="G19" s="23">
        <f>E19/C$18</f>
        <v>2000.7999999999997</v>
      </c>
      <c r="H19" s="13" t="s">
        <v>233</v>
      </c>
      <c r="I19" s="15"/>
      <c r="J19" s="15"/>
      <c r="K19" s="15"/>
      <c r="L19" s="15"/>
      <c r="M19" s="15"/>
    </row>
    <row r="20" spans="2:13" ht="30">
      <c r="B20" s="109"/>
      <c r="C20" s="109"/>
      <c r="D20" s="11" t="s">
        <v>122</v>
      </c>
      <c r="E20" s="23">
        <f>E19*100/82</f>
        <v>244</v>
      </c>
      <c r="F20" s="13" t="s">
        <v>3</v>
      </c>
      <c r="G20" s="23">
        <f>E20/C$18</f>
        <v>2440</v>
      </c>
      <c r="H20" s="13" t="s">
        <v>233</v>
      </c>
      <c r="I20" s="15" t="s">
        <v>232</v>
      </c>
      <c r="J20" s="15"/>
      <c r="K20" s="15"/>
      <c r="L20" s="15"/>
      <c r="M20" s="15"/>
    </row>
    <row r="21" spans="2:13">
      <c r="B21" s="110"/>
      <c r="C21" s="110"/>
      <c r="D21" s="20" t="s">
        <v>124</v>
      </c>
      <c r="E21" s="24">
        <f>E19*130/82</f>
        <v>317.2</v>
      </c>
      <c r="F21" s="13" t="s">
        <v>3</v>
      </c>
      <c r="G21" s="23">
        <f>E21/C$18</f>
        <v>3171.9999999999995</v>
      </c>
      <c r="H21" s="13" t="s">
        <v>233</v>
      </c>
      <c r="I21" s="15" t="s">
        <v>232</v>
      </c>
      <c r="J21" s="15"/>
      <c r="K21" s="15"/>
      <c r="L21" s="15"/>
      <c r="M21" s="15"/>
    </row>
    <row r="22" spans="2:13">
      <c r="B22" s="32"/>
      <c r="C22" s="32"/>
      <c r="D22" s="20"/>
      <c r="E22" s="24"/>
      <c r="F22" s="25"/>
      <c r="G22" s="26"/>
      <c r="H22" s="25"/>
      <c r="I22" s="15"/>
      <c r="J22" s="15"/>
      <c r="K22" s="15"/>
      <c r="L22" s="15"/>
      <c r="M22" s="15"/>
    </row>
    <row r="23" spans="2:13">
      <c r="B23" s="108" t="s">
        <v>234</v>
      </c>
      <c r="C23" s="108">
        <v>0.1</v>
      </c>
      <c r="D23" s="18" t="s">
        <v>235</v>
      </c>
      <c r="E23" s="23">
        <v>170.19300000000001</v>
      </c>
      <c r="F23" s="13" t="s">
        <v>3</v>
      </c>
      <c r="G23" s="23">
        <f>E23/C$23</f>
        <v>1701.93</v>
      </c>
      <c r="H23" s="13" t="s">
        <v>233</v>
      </c>
      <c r="I23" s="15"/>
      <c r="J23" s="15"/>
      <c r="K23" s="15"/>
      <c r="L23" s="15"/>
      <c r="M23" s="15"/>
    </row>
    <row r="24" spans="2:13">
      <c r="B24" s="109"/>
      <c r="C24" s="109"/>
      <c r="D24" s="11" t="s">
        <v>121</v>
      </c>
      <c r="E24" s="23">
        <f>2.58609*82</f>
        <v>212.05938</v>
      </c>
      <c r="F24" s="13" t="s">
        <v>3</v>
      </c>
      <c r="G24" s="23">
        <f>E24/C$23</f>
        <v>2120.5938000000001</v>
      </c>
      <c r="H24" s="13" t="s">
        <v>233</v>
      </c>
      <c r="I24" s="15"/>
      <c r="J24" s="15"/>
      <c r="K24" s="15"/>
      <c r="L24" s="15"/>
      <c r="M24" s="15"/>
    </row>
    <row r="25" spans="2:13" ht="30">
      <c r="B25" s="109"/>
      <c r="C25" s="109"/>
      <c r="D25" s="11" t="s">
        <v>122</v>
      </c>
      <c r="E25" s="23">
        <f>E24*100/82</f>
        <v>258.60900000000004</v>
      </c>
      <c r="F25" s="13" t="s">
        <v>3</v>
      </c>
      <c r="G25" s="23">
        <f>E25/C$23</f>
        <v>2586.09</v>
      </c>
      <c r="H25" s="13" t="s">
        <v>233</v>
      </c>
      <c r="I25" s="15" t="s">
        <v>232</v>
      </c>
      <c r="J25" s="15"/>
      <c r="K25" s="15"/>
      <c r="L25" s="15"/>
      <c r="M25" s="15"/>
    </row>
    <row r="26" spans="2:13">
      <c r="B26" s="110"/>
      <c r="C26" s="110"/>
      <c r="D26" s="20" t="s">
        <v>124</v>
      </c>
      <c r="E26" s="24">
        <f>E24*130/82</f>
        <v>336.19170000000003</v>
      </c>
      <c r="F26" s="13" t="s">
        <v>3</v>
      </c>
      <c r="G26" s="23">
        <f>E26/C$18</f>
        <v>3361.9169999999999</v>
      </c>
      <c r="H26" s="13" t="s">
        <v>233</v>
      </c>
      <c r="I26" s="15" t="s">
        <v>232</v>
      </c>
      <c r="J26" s="15"/>
      <c r="K26" s="15"/>
      <c r="L26" s="15"/>
      <c r="M26" s="15"/>
    </row>
    <row r="27" spans="2:13">
      <c r="B27" s="34"/>
      <c r="C27" s="34"/>
      <c r="D27" s="11"/>
      <c r="E27" s="23"/>
      <c r="F27" s="13"/>
      <c r="G27" s="23"/>
      <c r="H27" s="13"/>
      <c r="I27" s="15"/>
      <c r="J27" s="15"/>
      <c r="K27" s="15"/>
      <c r="L27" s="15"/>
      <c r="M27" s="15"/>
    </row>
    <row r="28" spans="2:13">
      <c r="B28" s="108" t="s">
        <v>145</v>
      </c>
      <c r="C28" s="108">
        <v>0.1</v>
      </c>
      <c r="D28" s="18" t="s">
        <v>146</v>
      </c>
      <c r="E28" s="23">
        <v>117.782</v>
      </c>
      <c r="F28" s="13" t="s">
        <v>3</v>
      </c>
      <c r="G28" s="23">
        <f>E28/C$28</f>
        <v>1177.82</v>
      </c>
      <c r="H28" s="13" t="s">
        <v>233</v>
      </c>
      <c r="I28" s="15"/>
      <c r="J28" s="15"/>
      <c r="K28" s="15"/>
      <c r="L28" s="15"/>
      <c r="M28" s="15"/>
    </row>
    <row r="29" spans="2:13">
      <c r="B29" s="109"/>
      <c r="C29" s="109"/>
      <c r="D29" s="11" t="s">
        <v>236</v>
      </c>
      <c r="E29" s="23">
        <f>2.1*66.6666666666667</f>
        <v>140.00000000000009</v>
      </c>
      <c r="F29" s="13" t="s">
        <v>3</v>
      </c>
      <c r="G29" s="23">
        <f>E29/C$28</f>
        <v>1400.0000000000007</v>
      </c>
      <c r="H29" s="13" t="s">
        <v>233</v>
      </c>
      <c r="I29" s="15"/>
      <c r="J29" s="15"/>
      <c r="K29" s="15"/>
      <c r="L29" s="15"/>
      <c r="M29" s="15"/>
    </row>
    <row r="30" spans="2:13" ht="30">
      <c r="B30" s="109"/>
      <c r="C30" s="109"/>
      <c r="D30" s="11" t="s">
        <v>149</v>
      </c>
      <c r="E30" s="23">
        <f>E29*100/66.6</f>
        <v>210.21021021021036</v>
      </c>
      <c r="F30" s="13" t="s">
        <v>3</v>
      </c>
      <c r="G30" s="23">
        <f>E30/C$28</f>
        <v>2102.1021021021033</v>
      </c>
      <c r="H30" s="13" t="s">
        <v>233</v>
      </c>
      <c r="I30" s="15" t="s">
        <v>232</v>
      </c>
      <c r="J30" s="15"/>
      <c r="K30" s="15"/>
      <c r="L30" s="15"/>
      <c r="M30" s="15"/>
    </row>
    <row r="31" spans="2:13">
      <c r="B31" s="110"/>
      <c r="C31" s="110"/>
      <c r="D31" s="20" t="s">
        <v>124</v>
      </c>
      <c r="E31" s="24">
        <f>E29*130/82</f>
        <v>221.95121951219525</v>
      </c>
      <c r="F31" s="13" t="s">
        <v>3</v>
      </c>
      <c r="G31" s="23">
        <f>E31/C$18</f>
        <v>2219.5121951219526</v>
      </c>
      <c r="H31" s="13" t="s">
        <v>233</v>
      </c>
      <c r="I31" s="15" t="s">
        <v>232</v>
      </c>
      <c r="J31" s="15"/>
      <c r="K31" s="15"/>
      <c r="L31" s="15"/>
      <c r="M31" s="15"/>
    </row>
    <row r="32" spans="2:13">
      <c r="B32" s="32"/>
      <c r="C32" s="27"/>
      <c r="D32" s="18"/>
      <c r="E32" s="23"/>
      <c r="F32" s="13"/>
      <c r="G32" s="23"/>
      <c r="H32" s="13"/>
      <c r="I32" s="15"/>
      <c r="J32" s="15"/>
      <c r="K32" s="15"/>
      <c r="L32" s="15"/>
      <c r="M32" s="15"/>
    </row>
    <row r="33" spans="2:13">
      <c r="B33" s="108" t="s">
        <v>237</v>
      </c>
      <c r="C33" s="108">
        <v>0.1</v>
      </c>
      <c r="D33" s="18" t="s">
        <v>157</v>
      </c>
      <c r="E33" s="23">
        <v>210.4</v>
      </c>
      <c r="F33" s="13" t="s">
        <v>3</v>
      </c>
      <c r="G33" s="23">
        <f>E33/C$28</f>
        <v>2104</v>
      </c>
      <c r="H33" s="13" t="s">
        <v>233</v>
      </c>
      <c r="I33" s="15"/>
      <c r="J33" s="15"/>
      <c r="K33" s="15"/>
      <c r="L33" s="15"/>
      <c r="M33" s="15"/>
    </row>
    <row r="34" spans="2:13">
      <c r="B34" s="109"/>
      <c r="C34" s="109"/>
      <c r="D34" s="11" t="s">
        <v>158</v>
      </c>
      <c r="E34" s="23">
        <f>2.72*86.4</f>
        <v>235.00800000000004</v>
      </c>
      <c r="F34" s="13" t="s">
        <v>3</v>
      </c>
      <c r="G34" s="23">
        <f>E34/C$28</f>
        <v>2350.0800000000004</v>
      </c>
      <c r="H34" s="13" t="s">
        <v>233</v>
      </c>
      <c r="I34" s="15"/>
      <c r="J34" s="15"/>
      <c r="K34" s="15"/>
      <c r="L34" s="15"/>
      <c r="M34" s="15"/>
    </row>
    <row r="35" spans="2:13" ht="30">
      <c r="B35" s="109"/>
      <c r="C35" s="109"/>
      <c r="D35" s="11" t="s">
        <v>122</v>
      </c>
      <c r="E35" s="23">
        <f>100/86.4*E34</f>
        <v>272.00000000000006</v>
      </c>
      <c r="F35" s="13" t="s">
        <v>3</v>
      </c>
      <c r="G35" s="23">
        <f>E35/C$28</f>
        <v>2720.0000000000005</v>
      </c>
      <c r="H35" s="13" t="s">
        <v>233</v>
      </c>
      <c r="I35" s="15" t="s">
        <v>232</v>
      </c>
      <c r="J35" s="15"/>
      <c r="K35" s="15"/>
      <c r="L35" s="15"/>
      <c r="M35" s="15"/>
    </row>
    <row r="36" spans="2:13">
      <c r="B36" s="110"/>
      <c r="C36" s="110"/>
      <c r="D36" s="20" t="s">
        <v>124</v>
      </c>
      <c r="E36" s="24">
        <f>E34*130/82</f>
        <v>372.57365853658541</v>
      </c>
      <c r="F36" s="13" t="s">
        <v>3</v>
      </c>
      <c r="G36" s="23">
        <f>E36/C$18</f>
        <v>3725.7365853658539</v>
      </c>
      <c r="H36" s="13" t="s">
        <v>233</v>
      </c>
      <c r="I36" s="15" t="s">
        <v>232</v>
      </c>
      <c r="J36" s="15"/>
      <c r="K36" s="15"/>
      <c r="L36" s="15"/>
      <c r="M36" s="15"/>
    </row>
    <row r="37" spans="2:13">
      <c r="B37" s="32"/>
      <c r="C37" s="27"/>
      <c r="D37" s="11"/>
      <c r="E37" s="23"/>
      <c r="F37" s="13"/>
      <c r="G37" s="23"/>
      <c r="H37" s="13"/>
      <c r="I37" s="15"/>
      <c r="J37" s="15"/>
      <c r="K37" s="15"/>
      <c r="L37" s="15"/>
      <c r="M37" s="15"/>
    </row>
    <row r="38" spans="2:13">
      <c r="B38" s="108" t="s">
        <v>238</v>
      </c>
      <c r="C38" s="108">
        <v>0.1</v>
      </c>
      <c r="D38" s="18" t="s">
        <v>239</v>
      </c>
      <c r="E38" s="23">
        <v>6589.73</v>
      </c>
      <c r="F38" s="13" t="s">
        <v>240</v>
      </c>
      <c r="G38" s="23">
        <f>E38/C$38</f>
        <v>65897.299999999988</v>
      </c>
      <c r="H38" s="13" t="s">
        <v>241</v>
      </c>
      <c r="I38" s="15"/>
      <c r="J38" s="15"/>
      <c r="K38" s="15"/>
      <c r="L38" s="15"/>
      <c r="M38" s="15"/>
    </row>
    <row r="39" spans="2:13">
      <c r="B39" s="110"/>
      <c r="C39" s="110"/>
      <c r="D39" s="11" t="s">
        <v>242</v>
      </c>
      <c r="E39" s="23">
        <v>6589.73</v>
      </c>
      <c r="F39" s="13" t="s">
        <v>240</v>
      </c>
      <c r="G39" s="23">
        <f>E39/C$38</f>
        <v>65897.299999999988</v>
      </c>
      <c r="H39" s="13" t="s">
        <v>241</v>
      </c>
      <c r="I39" s="15" t="s">
        <v>243</v>
      </c>
      <c r="J39" s="15"/>
      <c r="K39" s="15"/>
      <c r="L39" s="15"/>
      <c r="M39" s="15"/>
    </row>
    <row r="40" spans="2:13">
      <c r="B40" s="33"/>
      <c r="C40" s="33"/>
      <c r="D40" s="11"/>
      <c r="E40" s="28"/>
      <c r="F40" s="13"/>
      <c r="G40" s="23"/>
      <c r="H40" s="13"/>
      <c r="I40" s="15"/>
      <c r="J40" s="15"/>
      <c r="K40" s="15"/>
      <c r="L40" s="15"/>
      <c r="M40" s="15"/>
    </row>
    <row r="41" spans="2:13">
      <c r="B41" s="107" t="s">
        <v>193</v>
      </c>
      <c r="C41" s="107">
        <v>0.1</v>
      </c>
      <c r="D41" s="18" t="s">
        <v>244</v>
      </c>
      <c r="E41" s="23">
        <v>2850.71</v>
      </c>
      <c r="F41" s="13" t="s">
        <v>240</v>
      </c>
      <c r="G41" s="23">
        <f>E41/C$38</f>
        <v>28507.1</v>
      </c>
      <c r="H41" s="13" t="s">
        <v>241</v>
      </c>
      <c r="I41" s="15"/>
      <c r="J41" s="15"/>
      <c r="K41" s="15"/>
      <c r="L41" s="15"/>
      <c r="M41" s="15"/>
    </row>
    <row r="42" spans="2:13">
      <c r="B42" s="107"/>
      <c r="C42" s="107"/>
      <c r="D42" s="11" t="s">
        <v>242</v>
      </c>
      <c r="E42" s="23">
        <v>2850.71</v>
      </c>
      <c r="F42" s="13" t="s">
        <v>240</v>
      </c>
      <c r="G42" s="23">
        <f>E42/C$38</f>
        <v>28507.1</v>
      </c>
      <c r="H42" s="13" t="s">
        <v>241</v>
      </c>
      <c r="I42" s="15" t="s">
        <v>243</v>
      </c>
      <c r="J42" s="15"/>
      <c r="K42" s="15"/>
      <c r="L42" s="15"/>
      <c r="M42" s="15"/>
    </row>
    <row r="43" spans="2:13">
      <c r="B43" s="32"/>
      <c r="C43" s="32"/>
      <c r="D43" s="11"/>
      <c r="E43" s="28"/>
      <c r="F43" s="13"/>
      <c r="G43" s="23"/>
      <c r="H43" s="13"/>
      <c r="I43" s="15"/>
      <c r="J43" s="15"/>
      <c r="K43" s="15"/>
      <c r="L43" s="15"/>
      <c r="M43" s="15"/>
    </row>
    <row r="44" spans="2:13">
      <c r="B44" s="111" t="s">
        <v>53</v>
      </c>
      <c r="C44" s="28"/>
      <c r="D44" s="11" t="s">
        <v>54</v>
      </c>
      <c r="E44" s="28"/>
      <c r="F44" s="19"/>
      <c r="G44" s="29">
        <v>8.7266221419519994</v>
      </c>
      <c r="H44" s="13" t="s">
        <v>59</v>
      </c>
      <c r="I44" s="15"/>
      <c r="J44" s="15"/>
      <c r="K44" s="15"/>
      <c r="L44" s="15"/>
      <c r="M44" s="15"/>
    </row>
    <row r="45" spans="2:13" ht="30">
      <c r="B45" s="112"/>
      <c r="C45" s="28"/>
      <c r="D45" s="11" t="s">
        <v>245</v>
      </c>
      <c r="E45" s="28"/>
      <c r="F45" s="19"/>
      <c r="G45" s="14">
        <v>4</v>
      </c>
      <c r="H45" s="13" t="s">
        <v>246</v>
      </c>
      <c r="I45" s="15" t="s">
        <v>247</v>
      </c>
      <c r="J45" s="15"/>
      <c r="K45" s="15"/>
      <c r="L45" s="15"/>
      <c r="M45" s="15"/>
    </row>
    <row r="46" spans="2:13" ht="30">
      <c r="B46" s="112"/>
      <c r="C46" s="28"/>
      <c r="D46" s="11" t="s">
        <v>248</v>
      </c>
      <c r="E46" s="28"/>
      <c r="F46" s="19"/>
      <c r="G46" s="14">
        <v>10</v>
      </c>
      <c r="H46" s="13" t="s">
        <v>246</v>
      </c>
      <c r="I46" s="15" t="s">
        <v>247</v>
      </c>
      <c r="J46" s="15"/>
      <c r="K46" s="15"/>
      <c r="L46" s="15"/>
      <c r="M46" s="15"/>
    </row>
    <row r="47" spans="2:13">
      <c r="B47" s="112"/>
      <c r="C47" s="28"/>
      <c r="D47" s="11" t="s">
        <v>249</v>
      </c>
      <c r="E47" s="28"/>
      <c r="F47" s="19"/>
      <c r="G47" s="14"/>
      <c r="H47" s="13"/>
      <c r="I47" s="15"/>
      <c r="J47" s="15"/>
      <c r="K47" s="15"/>
      <c r="L47" s="15"/>
      <c r="M47" s="15"/>
    </row>
    <row r="48" spans="2:13">
      <c r="B48" s="112"/>
      <c r="C48" s="28"/>
      <c r="D48" s="30" t="s">
        <v>250</v>
      </c>
      <c r="E48" s="28"/>
      <c r="F48" s="19"/>
      <c r="G48" s="14">
        <f>G44*(1-G45/100)</f>
        <v>8.3775572562739189</v>
      </c>
      <c r="H48" s="13" t="s">
        <v>59</v>
      </c>
      <c r="I48" s="15"/>
      <c r="J48" s="15"/>
      <c r="K48" s="15"/>
      <c r="L48" s="15"/>
      <c r="M48" s="15"/>
    </row>
    <row r="49" spans="2:13">
      <c r="B49" s="112"/>
      <c r="C49" s="28"/>
      <c r="D49" s="30" t="s">
        <v>251</v>
      </c>
      <c r="E49" s="28"/>
      <c r="F49" s="19"/>
      <c r="G49" s="14">
        <f>G44*(1+G45/100)</f>
        <v>9.0756870276300798</v>
      </c>
      <c r="H49" s="13" t="s">
        <v>59</v>
      </c>
      <c r="I49" s="15"/>
      <c r="J49" s="15"/>
      <c r="K49" s="15"/>
      <c r="L49" s="15"/>
      <c r="M49" s="15"/>
    </row>
    <row r="50" spans="2:13">
      <c r="B50" s="112"/>
      <c r="C50" s="28"/>
      <c r="D50" s="11" t="s">
        <v>252</v>
      </c>
      <c r="E50" s="28"/>
      <c r="F50" s="19"/>
      <c r="G50" s="14"/>
      <c r="H50" s="13"/>
      <c r="I50" s="15"/>
      <c r="J50" s="15"/>
      <c r="K50" s="15"/>
      <c r="L50" s="15"/>
      <c r="M50" s="15"/>
    </row>
    <row r="51" spans="2:13">
      <c r="B51" s="112"/>
      <c r="C51" s="28"/>
      <c r="D51" s="30" t="s">
        <v>250</v>
      </c>
      <c r="E51" s="28"/>
      <c r="F51" s="19"/>
      <c r="G51" s="14">
        <f>G44*(1-G46/100)</f>
        <v>7.8539599277568</v>
      </c>
      <c r="H51" s="13" t="s">
        <v>59</v>
      </c>
      <c r="I51" s="15"/>
      <c r="J51" s="15"/>
      <c r="K51" s="15"/>
      <c r="L51" s="15"/>
      <c r="M51" s="15"/>
    </row>
    <row r="52" spans="2:13">
      <c r="B52" s="112"/>
      <c r="C52" s="28"/>
      <c r="D52" s="30" t="s">
        <v>251</v>
      </c>
      <c r="E52" s="28"/>
      <c r="F52" s="19"/>
      <c r="G52" s="14">
        <f>G44*(1+G46/100)</f>
        <v>9.5992843561471997</v>
      </c>
      <c r="H52" s="13" t="s">
        <v>59</v>
      </c>
      <c r="I52" s="15"/>
      <c r="J52" s="15"/>
      <c r="K52" s="15"/>
      <c r="L52" s="15"/>
      <c r="M52" s="15"/>
    </row>
    <row r="53" spans="2:13" ht="30">
      <c r="B53" s="112"/>
      <c r="C53" s="28"/>
      <c r="D53" s="11" t="s">
        <v>253</v>
      </c>
      <c r="E53" s="28"/>
      <c r="F53" s="19"/>
      <c r="G53" s="14">
        <v>10.95</v>
      </c>
      <c r="H53" s="13" t="s">
        <v>59</v>
      </c>
      <c r="I53" s="15" t="s">
        <v>254</v>
      </c>
      <c r="J53" s="15"/>
      <c r="K53" s="15"/>
      <c r="L53" s="15"/>
      <c r="M53" s="15"/>
    </row>
    <row r="54" spans="2:13">
      <c r="B54" s="112"/>
      <c r="C54" s="28"/>
      <c r="D54" s="30" t="s">
        <v>255</v>
      </c>
      <c r="E54" s="28"/>
      <c r="F54" s="19"/>
      <c r="G54" s="14">
        <f>G53*(1-G46/100)</f>
        <v>9.8550000000000004</v>
      </c>
      <c r="H54" s="13" t="s">
        <v>59</v>
      </c>
      <c r="I54" s="15"/>
      <c r="J54" s="15"/>
      <c r="K54" s="15"/>
      <c r="L54" s="15"/>
      <c r="M54" s="15"/>
    </row>
    <row r="55" spans="2:13">
      <c r="B55" s="113"/>
      <c r="C55" s="28"/>
      <c r="D55" s="30" t="s">
        <v>256</v>
      </c>
      <c r="E55" s="28"/>
      <c r="F55" s="19"/>
      <c r="G55" s="14">
        <f>G53*(1+G46/100)</f>
        <v>12.045</v>
      </c>
      <c r="H55" s="13" t="s">
        <v>59</v>
      </c>
      <c r="I55" s="15"/>
      <c r="J55" s="15"/>
      <c r="K55" s="15"/>
      <c r="L55" s="15"/>
      <c r="M55" s="15"/>
    </row>
    <row r="56" spans="2:13">
      <c r="B56" s="114" t="s">
        <v>73</v>
      </c>
      <c r="C56" s="28"/>
      <c r="D56" s="11" t="s">
        <v>54</v>
      </c>
      <c r="E56" s="28"/>
      <c r="F56" s="19"/>
      <c r="G56" s="14">
        <v>8.6680616642047994</v>
      </c>
      <c r="H56" s="13" t="s">
        <v>59</v>
      </c>
      <c r="I56" s="15"/>
      <c r="J56" s="15"/>
      <c r="K56" s="15"/>
      <c r="L56" s="15"/>
      <c r="M56" s="15"/>
    </row>
    <row r="57" spans="2:13" ht="30">
      <c r="B57" s="114"/>
      <c r="C57" s="28"/>
      <c r="D57" s="11" t="s">
        <v>245</v>
      </c>
      <c r="E57" s="28"/>
      <c r="F57" s="19"/>
      <c r="G57" s="14">
        <v>4</v>
      </c>
      <c r="H57" s="13" t="s">
        <v>246</v>
      </c>
      <c r="I57" s="15"/>
      <c r="J57" s="15"/>
      <c r="K57" s="15"/>
      <c r="L57" s="15"/>
      <c r="M57" s="15"/>
    </row>
    <row r="58" spans="2:13" ht="30">
      <c r="B58" s="114"/>
      <c r="C58" s="28"/>
      <c r="D58" s="11" t="s">
        <v>248</v>
      </c>
      <c r="E58" s="28"/>
      <c r="F58" s="19"/>
      <c r="G58" s="14">
        <v>10</v>
      </c>
      <c r="H58" s="13" t="s">
        <v>246</v>
      </c>
      <c r="I58" s="15" t="s">
        <v>257</v>
      </c>
      <c r="J58" s="15"/>
      <c r="K58" s="15"/>
      <c r="L58" s="15"/>
      <c r="M58" s="15"/>
    </row>
    <row r="59" spans="2:13">
      <c r="B59" s="114"/>
      <c r="C59" s="28"/>
      <c r="D59" s="11" t="s">
        <v>249</v>
      </c>
      <c r="E59" s="28"/>
      <c r="F59" s="19"/>
      <c r="G59" s="14"/>
      <c r="H59" s="13"/>
      <c r="I59" s="15"/>
      <c r="J59" s="15"/>
      <c r="K59" s="15"/>
      <c r="L59" s="15"/>
      <c r="M59" s="15"/>
    </row>
    <row r="60" spans="2:13">
      <c r="B60" s="114"/>
      <c r="C60" s="28"/>
      <c r="D60" s="30" t="s">
        <v>250</v>
      </c>
      <c r="E60" s="28"/>
      <c r="F60" s="19"/>
      <c r="G60" s="14">
        <f>G56*(1-G57/100)</f>
        <v>8.3213391976366076</v>
      </c>
      <c r="H60" s="13" t="s">
        <v>59</v>
      </c>
      <c r="I60" s="15"/>
      <c r="J60" s="15"/>
      <c r="K60" s="15"/>
      <c r="L60" s="15"/>
      <c r="M60" s="15"/>
    </row>
    <row r="61" spans="2:13">
      <c r="B61" s="114"/>
      <c r="C61" s="28"/>
      <c r="D61" s="30" t="s">
        <v>251</v>
      </c>
      <c r="E61" s="28"/>
      <c r="F61" s="19"/>
      <c r="G61" s="14">
        <f>G56*(1+G57/100)</f>
        <v>9.0147841307729912</v>
      </c>
      <c r="H61" s="13" t="s">
        <v>59</v>
      </c>
      <c r="I61" s="15"/>
      <c r="J61" s="15"/>
      <c r="K61" s="15"/>
      <c r="L61" s="15"/>
      <c r="M61" s="15"/>
    </row>
    <row r="62" spans="2:13">
      <c r="B62" s="114"/>
      <c r="C62" s="28"/>
      <c r="D62" s="11" t="s">
        <v>252</v>
      </c>
      <c r="E62" s="28"/>
      <c r="F62" s="19"/>
      <c r="G62" s="14"/>
      <c r="H62" s="13"/>
      <c r="I62" s="15"/>
      <c r="J62" s="15"/>
      <c r="K62" s="15"/>
      <c r="L62" s="15"/>
      <c r="M62" s="15"/>
    </row>
    <row r="63" spans="2:13">
      <c r="B63" s="114"/>
      <c r="C63" s="28"/>
      <c r="D63" s="30" t="s">
        <v>250</v>
      </c>
      <c r="E63" s="28"/>
      <c r="F63" s="19"/>
      <c r="G63" s="14">
        <f>G56*(1-G58/100)</f>
        <v>7.8012554977843198</v>
      </c>
      <c r="H63" s="13" t="s">
        <v>59</v>
      </c>
      <c r="I63" s="15"/>
      <c r="J63" s="15"/>
      <c r="K63" s="15"/>
      <c r="L63" s="15"/>
      <c r="M63" s="15"/>
    </row>
    <row r="64" spans="2:13">
      <c r="B64" s="114"/>
      <c r="C64" s="28"/>
      <c r="D64" s="30" t="s">
        <v>251</v>
      </c>
      <c r="E64" s="28"/>
      <c r="F64" s="19"/>
      <c r="G64" s="14">
        <f>G56*(1+G58/100)</f>
        <v>9.5348678306252808</v>
      </c>
      <c r="H64" s="13" t="s">
        <v>59</v>
      </c>
      <c r="I64" s="15"/>
      <c r="J64" s="15"/>
      <c r="K64" s="15"/>
      <c r="L64" s="15"/>
      <c r="M64" s="15"/>
    </row>
    <row r="65" spans="2:13">
      <c r="B65" s="114"/>
      <c r="C65" s="28"/>
      <c r="D65" s="11" t="s">
        <v>258</v>
      </c>
      <c r="E65" s="28"/>
      <c r="F65" s="19"/>
      <c r="G65" s="14">
        <f>10.95</f>
        <v>10.95</v>
      </c>
      <c r="H65" s="13" t="s">
        <v>59</v>
      </c>
      <c r="I65" s="15"/>
      <c r="J65" s="15"/>
      <c r="K65" s="15"/>
      <c r="L65" s="15"/>
      <c r="M65" s="15"/>
    </row>
    <row r="66" spans="2:13">
      <c r="B66" s="114"/>
      <c r="C66" s="28"/>
      <c r="D66" s="30" t="s">
        <v>255</v>
      </c>
      <c r="E66" s="28"/>
      <c r="F66" s="19"/>
      <c r="G66" s="14">
        <f>G65*(1-G58/100)</f>
        <v>9.8550000000000004</v>
      </c>
      <c r="H66" s="19" t="s">
        <v>59</v>
      </c>
      <c r="I66" s="15"/>
      <c r="J66" s="15"/>
      <c r="K66" s="15"/>
      <c r="L66" s="15"/>
      <c r="M66" s="15"/>
    </row>
    <row r="67" spans="2:13">
      <c r="B67" s="114"/>
      <c r="C67" s="28"/>
      <c r="D67" s="30" t="s">
        <v>256</v>
      </c>
      <c r="E67" s="28"/>
      <c r="F67" s="19"/>
      <c r="G67" s="14">
        <f>G65*(1+G58/100)</f>
        <v>12.045</v>
      </c>
      <c r="H67" s="19" t="s">
        <v>59</v>
      </c>
      <c r="I67" s="15"/>
      <c r="J67" s="15"/>
      <c r="K67" s="15"/>
      <c r="L67" s="15"/>
      <c r="M67" s="15"/>
    </row>
  </sheetData>
  <mergeCells count="20">
    <mergeCell ref="B44:B55"/>
    <mergeCell ref="B56:B67"/>
    <mergeCell ref="B33:B36"/>
    <mergeCell ref="C33:C36"/>
    <mergeCell ref="B38:B39"/>
    <mergeCell ref="C38:C39"/>
    <mergeCell ref="B41:B42"/>
    <mergeCell ref="C41:C42"/>
    <mergeCell ref="B18:B21"/>
    <mergeCell ref="C18:C21"/>
    <mergeCell ref="B23:B26"/>
    <mergeCell ref="C23:C26"/>
    <mergeCell ref="B28:B31"/>
    <mergeCell ref="C28:C31"/>
    <mergeCell ref="E5:F5"/>
    <mergeCell ref="G5:H5"/>
    <mergeCell ref="B6:B12"/>
    <mergeCell ref="C6:C12"/>
    <mergeCell ref="B14:B16"/>
    <mergeCell ref="C14: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0"/>
  <sheetViews>
    <sheetView topLeftCell="A9" zoomScaleNormal="100" workbookViewId="0">
      <selection activeCell="F10" sqref="F10"/>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7" width="9.140625" style="15" customWidth="1"/>
    <col min="8" max="8" width="19.85546875" style="15" customWidth="1"/>
    <col min="9" max="9" width="42.7109375" style="15" customWidth="1"/>
    <col min="10" max="11" width="12.7109375" style="15" customWidth="1"/>
    <col min="12" max="16384" width="9.140625" style="15"/>
  </cols>
  <sheetData>
    <row r="2" spans="2:11" ht="15.75">
      <c r="C2" s="62" t="s">
        <v>56</v>
      </c>
      <c r="D2" s="63">
        <v>4.2100972347020704</v>
      </c>
      <c r="E2" s="62" t="s">
        <v>57</v>
      </c>
      <c r="G2" s="73"/>
      <c r="I2" s="40" t="s">
        <v>42</v>
      </c>
    </row>
    <row r="3" spans="2:11" ht="15.75">
      <c r="C3" s="62" t="s">
        <v>58</v>
      </c>
      <c r="D3" s="63">
        <v>8.7266221419519994</v>
      </c>
      <c r="E3" s="62" t="s">
        <v>59</v>
      </c>
      <c r="G3" s="73"/>
      <c r="I3" s="40" t="s">
        <v>60</v>
      </c>
    </row>
    <row r="4" spans="2:11">
      <c r="D4" s="40"/>
    </row>
    <row r="5" spans="2:11" ht="56.25" customHeight="1">
      <c r="B5" s="35" t="s">
        <v>46</v>
      </c>
      <c r="C5" s="37" t="s">
        <v>47</v>
      </c>
      <c r="D5" s="87" t="s">
        <v>61</v>
      </c>
      <c r="E5" s="88"/>
      <c r="F5" s="84" t="s">
        <v>62</v>
      </c>
      <c r="G5" s="85"/>
      <c r="H5" s="42" t="s">
        <v>49</v>
      </c>
      <c r="I5" s="42" t="s">
        <v>50</v>
      </c>
      <c r="J5" s="35" t="s">
        <v>63</v>
      </c>
      <c r="K5" s="35" t="s">
        <v>64</v>
      </c>
    </row>
    <row r="6" spans="2:11" ht="21">
      <c r="B6" s="35"/>
      <c r="C6" s="37"/>
      <c r="D6" s="37" t="s">
        <v>51</v>
      </c>
      <c r="E6" s="43" t="s">
        <v>52</v>
      </c>
      <c r="F6" s="37" t="s">
        <v>51</v>
      </c>
      <c r="G6" s="43" t="s">
        <v>52</v>
      </c>
      <c r="H6" s="42"/>
      <c r="I6" s="28"/>
      <c r="J6" s="28"/>
      <c r="K6" s="28"/>
    </row>
    <row r="7" spans="2:11" ht="18.75" customHeight="1">
      <c r="B7" s="86" t="s">
        <v>53</v>
      </c>
      <c r="C7" s="38" t="s">
        <v>54</v>
      </c>
      <c r="D7" s="59">
        <f>(1-0.04)*D3</f>
        <v>8.3775572562739189</v>
      </c>
      <c r="E7" s="51">
        <f>(1+0.04)*D3</f>
        <v>9.0756870276300798</v>
      </c>
      <c r="F7" s="51">
        <f>(1-0.04)*D2</f>
        <v>4.0416933453139876</v>
      </c>
      <c r="G7" s="51">
        <f>(1+0.04)*D2</f>
        <v>4.3785011240901532</v>
      </c>
      <c r="H7" s="46">
        <v>1</v>
      </c>
      <c r="I7" s="41" t="s">
        <v>65</v>
      </c>
      <c r="J7" s="59">
        <f>D7/Info!H$3</f>
        <v>0.83703359999999993</v>
      </c>
      <c r="K7" s="51">
        <f>E7/Info!H$3</f>
        <v>0.90678639999999999</v>
      </c>
    </row>
    <row r="8" spans="2:11" ht="30.75">
      <c r="B8" s="86"/>
      <c r="C8" s="39" t="s">
        <v>66</v>
      </c>
      <c r="D8" s="59">
        <f>(1-0.1)*D3</f>
        <v>7.8539599277568</v>
      </c>
      <c r="E8" s="51">
        <f>(1+0.1)*D3</f>
        <v>9.5992843561471997</v>
      </c>
      <c r="F8" s="51">
        <f>(1-0.1)*D2</f>
        <v>3.7890875112318634</v>
      </c>
      <c r="G8" s="51">
        <f>(1+0.1)*D2</f>
        <v>4.6311069581722775</v>
      </c>
      <c r="H8" s="46">
        <v>2</v>
      </c>
      <c r="I8" s="50" t="s">
        <v>67</v>
      </c>
      <c r="J8" s="59">
        <f>D8/Info!H$3</f>
        <v>0.78471900000000006</v>
      </c>
      <c r="K8" s="51">
        <f>E8/Info!H$3</f>
        <v>0.95910099999999998</v>
      </c>
    </row>
    <row r="9" spans="2:11" ht="90.75" customHeight="1">
      <c r="B9" s="86"/>
      <c r="C9" s="39" t="s">
        <v>68</v>
      </c>
      <c r="D9" s="59">
        <f>-0.04*D3</f>
        <v>-0.34906488567807997</v>
      </c>
      <c r="E9" s="51">
        <f>(1+0.263258)*D3 + 0.04*D3</f>
        <v>11.373040119476078</v>
      </c>
      <c r="F9" s="51">
        <f>-0.04*D2</f>
        <v>-0.16840388938808282</v>
      </c>
      <c r="G9" s="51">
        <f>(1+0.263258)*D2 + 0.04*D2</f>
        <v>5.4868429019033504</v>
      </c>
      <c r="H9" s="46">
        <v>10</v>
      </c>
      <c r="I9" s="89" t="s">
        <v>69</v>
      </c>
      <c r="J9" s="59">
        <f>D9/Info!H$3</f>
        <v>-3.4876400000000002E-2</v>
      </c>
      <c r="K9" s="51">
        <f>E9/Info!H$3</f>
        <v>1.1363236827799998</v>
      </c>
    </row>
    <row r="10" spans="2:11" ht="30.75">
      <c r="B10" s="86"/>
      <c r="C10" s="39" t="s">
        <v>70</v>
      </c>
      <c r="D10" s="59">
        <f>-0.1*D3</f>
        <v>-0.87266221419519996</v>
      </c>
      <c r="E10" s="59">
        <f>(1+0.263258)*D3+0.1*D3</f>
        <v>11.896637447993198</v>
      </c>
      <c r="F10" s="59">
        <f>-0.1*D2</f>
        <v>-0.42100972347020704</v>
      </c>
      <c r="G10" s="59">
        <f>(1+0.263258)*D2+0.1*D2</f>
        <v>5.7394487359854747</v>
      </c>
      <c r="H10" s="46">
        <v>11</v>
      </c>
      <c r="I10" s="90"/>
      <c r="J10" s="59">
        <f>D10/Info!H$3</f>
        <v>-8.7191000000000005E-2</v>
      </c>
      <c r="K10" s="59">
        <f>E10/Info!H$3</f>
        <v>1.1886382827799999</v>
      </c>
    </row>
    <row r="17" spans="8:9">
      <c r="H17" s="77"/>
      <c r="I17" s="77"/>
    </row>
    <row r="18" spans="8:9">
      <c r="H18" s="77"/>
      <c r="I18" s="77"/>
    </row>
    <row r="19" spans="8:9">
      <c r="H19" s="77"/>
      <c r="I19" s="77"/>
    </row>
    <row r="20" spans="8:9">
      <c r="H20" s="77"/>
      <c r="I20" s="77"/>
    </row>
  </sheetData>
  <mergeCells count="4">
    <mergeCell ref="D5:E5"/>
    <mergeCell ref="B7:B10"/>
    <mergeCell ref="F5:G5"/>
    <mergeCell ref="I9:I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9"/>
  <sheetViews>
    <sheetView topLeftCell="A7" zoomScaleNormal="100" workbookViewId="0">
      <selection activeCell="E9" sqref="E9"/>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6" width="20.28515625" style="15" bestFit="1" customWidth="1"/>
    <col min="7" max="7" width="33.28515625" style="15" bestFit="1"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7" ht="15.75">
      <c r="C2" s="62" t="s">
        <v>41</v>
      </c>
      <c r="D2" s="64">
        <v>0.52396124788699117</v>
      </c>
      <c r="E2" s="62" t="s">
        <v>3</v>
      </c>
      <c r="F2" s="62"/>
      <c r="G2" s="62" t="s">
        <v>71</v>
      </c>
    </row>
    <row r="3" spans="2:7" ht="15.75">
      <c r="C3" s="62" t="s">
        <v>43</v>
      </c>
      <c r="D3" s="65">
        <v>662.181756917077</v>
      </c>
      <c r="E3" s="62" t="s">
        <v>44</v>
      </c>
      <c r="F3" s="62"/>
      <c r="G3" s="62"/>
    </row>
    <row r="4" spans="2:7">
      <c r="D4" s="40"/>
    </row>
    <row r="5" spans="2:7" ht="56.25" customHeight="1">
      <c r="B5" s="35" t="s">
        <v>46</v>
      </c>
      <c r="C5" s="37" t="s">
        <v>47</v>
      </c>
      <c r="D5" s="87" t="s">
        <v>72</v>
      </c>
      <c r="E5" s="87"/>
      <c r="F5" s="42" t="s">
        <v>49</v>
      </c>
      <c r="G5" s="42" t="s">
        <v>50</v>
      </c>
    </row>
    <row r="6" spans="2:7" ht="21">
      <c r="B6" s="35"/>
      <c r="C6" s="37"/>
      <c r="D6" s="37" t="s">
        <v>51</v>
      </c>
      <c r="E6" s="43" t="s">
        <v>52</v>
      </c>
      <c r="F6" s="42"/>
      <c r="G6" s="28"/>
    </row>
    <row r="7" spans="2:7" ht="18.75" customHeight="1">
      <c r="B7" s="86" t="s">
        <v>73</v>
      </c>
      <c r="C7" s="38" t="s">
        <v>54</v>
      </c>
      <c r="D7" s="59">
        <v>0</v>
      </c>
      <c r="E7" s="61">
        <f>D2</f>
        <v>0.52396124788699117</v>
      </c>
      <c r="F7" s="46">
        <v>1</v>
      </c>
      <c r="G7" s="41"/>
    </row>
    <row r="8" spans="2:7" ht="30.75">
      <c r="B8" s="86"/>
      <c r="C8" s="39" t="s">
        <v>74</v>
      </c>
      <c r="D8" s="59">
        <v>0</v>
      </c>
      <c r="E8" s="61">
        <f>760/D3*D2</f>
        <v>0.60136140000000027</v>
      </c>
      <c r="F8" s="46">
        <v>2</v>
      </c>
      <c r="G8" s="50"/>
    </row>
    <row r="9" spans="2:7" ht="18.75">
      <c r="B9" s="86"/>
      <c r="C9" s="39" t="s">
        <v>75</v>
      </c>
      <c r="D9" s="59">
        <v>0</v>
      </c>
      <c r="E9" s="61">
        <v>0.78386999999999996</v>
      </c>
      <c r="F9" s="46">
        <v>3</v>
      </c>
      <c r="G9" s="50"/>
    </row>
  </sheetData>
  <mergeCells count="2">
    <mergeCell ref="D5:E5"/>
    <mergeCell ref="B7: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8"/>
  <sheetViews>
    <sheetView topLeftCell="A7" zoomScaleNormal="100" workbookViewId="0">
      <selection activeCell="G10" sqref="G10"/>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7" width="11.140625" style="15"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11" ht="15.75">
      <c r="C2" s="62" t="s">
        <v>56</v>
      </c>
      <c r="D2" s="63">
        <v>8.5367398822081793</v>
      </c>
      <c r="E2" s="62" t="s">
        <v>57</v>
      </c>
      <c r="F2" s="62"/>
      <c r="G2" s="62"/>
      <c r="H2" s="73"/>
    </row>
    <row r="3" spans="2:11" ht="15.75">
      <c r="C3" s="62" t="s">
        <v>58</v>
      </c>
      <c r="D3" s="63">
        <v>8.6665854759732497</v>
      </c>
      <c r="E3" s="62" t="s">
        <v>59</v>
      </c>
      <c r="F3" s="62"/>
      <c r="G3" s="62"/>
      <c r="H3" s="73"/>
    </row>
    <row r="4" spans="2:11">
      <c r="D4" s="40"/>
    </row>
    <row r="5" spans="2:11" ht="56.25" customHeight="1">
      <c r="B5" s="35" t="s">
        <v>46</v>
      </c>
      <c r="C5" s="37" t="s">
        <v>47</v>
      </c>
      <c r="D5" s="84" t="s">
        <v>61</v>
      </c>
      <c r="E5" s="91"/>
      <c r="F5" s="87" t="s">
        <v>76</v>
      </c>
      <c r="G5" s="87"/>
      <c r="H5" s="42" t="s">
        <v>49</v>
      </c>
      <c r="I5" s="42" t="s">
        <v>50</v>
      </c>
      <c r="J5" s="35" t="s">
        <v>63</v>
      </c>
      <c r="K5" s="35" t="s">
        <v>64</v>
      </c>
    </row>
    <row r="6" spans="2:11" ht="21">
      <c r="B6" s="35"/>
      <c r="C6" s="37"/>
      <c r="D6" s="37" t="s">
        <v>51</v>
      </c>
      <c r="E6" s="43" t="s">
        <v>52</v>
      </c>
      <c r="F6" s="37" t="s">
        <v>51</v>
      </c>
      <c r="G6" s="43" t="s">
        <v>52</v>
      </c>
      <c r="H6" s="42"/>
      <c r="I6" s="28"/>
      <c r="J6" s="28"/>
      <c r="K6" s="28"/>
    </row>
    <row r="7" spans="2:11" ht="18.75" customHeight="1">
      <c r="B7" s="86" t="s">
        <v>73</v>
      </c>
      <c r="C7" s="38" t="s">
        <v>54</v>
      </c>
      <c r="D7" s="59">
        <f>(1-0.04)*D3</f>
        <v>8.3199220569343186</v>
      </c>
      <c r="E7" s="51">
        <f>(1+0.04)*D3</f>
        <v>9.0132488950121807</v>
      </c>
      <c r="F7" s="59">
        <f>(1-0.04)*D2</f>
        <v>8.1952702869198522</v>
      </c>
      <c r="G7" s="51">
        <f>(1+0.04)*D2</f>
        <v>8.8782094774965064</v>
      </c>
      <c r="H7" s="46">
        <v>1</v>
      </c>
      <c r="I7" s="41" t="s">
        <v>65</v>
      </c>
      <c r="J7" s="59">
        <f>D7/Info!H$3</f>
        <v>0.83127504808394892</v>
      </c>
      <c r="K7" s="51">
        <f>E7/Info!H$3</f>
        <v>0.90054796875761156</v>
      </c>
    </row>
    <row r="8" spans="2:11" ht="30.75">
      <c r="B8" s="86"/>
      <c r="C8" s="39" t="s">
        <v>77</v>
      </c>
      <c r="D8" s="59">
        <f>(1-0.1)*D3</f>
        <v>7.7999269283759247</v>
      </c>
      <c r="E8" s="51">
        <f>(1+0.1)*D3</f>
        <v>9.5332440235705747</v>
      </c>
      <c r="F8" s="59">
        <f>(1-0.1)*D2</f>
        <v>7.6830658939873615</v>
      </c>
      <c r="G8" s="51">
        <f>(1+0.1)*D2</f>
        <v>9.3904138704289988</v>
      </c>
      <c r="H8" s="46">
        <v>2</v>
      </c>
      <c r="I8" s="50" t="s">
        <v>67</v>
      </c>
      <c r="J8" s="59">
        <f>D8/Info!H$3</f>
        <v>0.77932035757870222</v>
      </c>
      <c r="K8" s="51">
        <f>E8/Info!H$3</f>
        <v>0.95250265926285826</v>
      </c>
    </row>
    <row r="9" spans="2:11" ht="30.75">
      <c r="B9" s="86"/>
      <c r="C9" s="39" t="s">
        <v>68</v>
      </c>
      <c r="D9" s="59">
        <f>-0.04*D3</f>
        <v>-0.34666341903893</v>
      </c>
      <c r="E9" s="51">
        <f>(1+0.263258)*D3+0.04*D3</f>
        <v>11.294796854245945</v>
      </c>
      <c r="F9" s="59">
        <f>-0.04*D2</f>
        <v>-0.34146959528832715</v>
      </c>
      <c r="G9" s="51">
        <f>(1+0.263258)*D2+0.04*D2</f>
        <v>11.125574545406867</v>
      </c>
      <c r="H9" s="46">
        <v>10</v>
      </c>
      <c r="I9" s="50" t="s">
        <v>78</v>
      </c>
      <c r="J9" s="59">
        <f>D9/Info!H$3</f>
        <v>-3.463646033683121E-2</v>
      </c>
      <c r="K9" s="51">
        <f>E9/Info!H$3</f>
        <v>1.1285061006414492</v>
      </c>
    </row>
    <row r="10" spans="2:11" ht="30.75">
      <c r="B10" s="86"/>
      <c r="C10" s="39" t="s">
        <v>70</v>
      </c>
      <c r="D10" s="59">
        <f>-0.1*D3</f>
        <v>-0.86665854759732497</v>
      </c>
      <c r="E10" s="59">
        <f>(1+0.263258)*D3+0.1*D3</f>
        <v>11.814791982804341</v>
      </c>
      <c r="F10" s="59">
        <f>-0.1*D2</f>
        <v>-0.85367398822081797</v>
      </c>
      <c r="G10" s="59">
        <f>(1+0.263258)*D2+0.1*D2</f>
        <v>11.637778938339357</v>
      </c>
      <c r="H10" s="46">
        <v>11</v>
      </c>
      <c r="I10" s="28"/>
      <c r="J10" s="59">
        <f>D10/Info!H$3</f>
        <v>-8.6591150842078024E-2</v>
      </c>
      <c r="K10" s="59">
        <f>E10/Info!H$3</f>
        <v>1.180460791146696</v>
      </c>
    </row>
    <row r="15" spans="2:11">
      <c r="F15" s="75"/>
      <c r="G15" s="75"/>
    </row>
    <row r="16" spans="2:11">
      <c r="F16" s="75"/>
      <c r="G16" s="75"/>
    </row>
    <row r="17" spans="6:7">
      <c r="F17" s="75"/>
      <c r="G17" s="75"/>
    </row>
    <row r="18" spans="6:7">
      <c r="F18" s="75"/>
      <c r="G18" s="75"/>
    </row>
  </sheetData>
  <mergeCells count="3">
    <mergeCell ref="D5:E5"/>
    <mergeCell ref="B7:B10"/>
    <mergeCell ref="F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N13"/>
  <sheetViews>
    <sheetView tabSelected="1" topLeftCell="A10" zoomScaleNormal="100" workbookViewId="0">
      <selection activeCell="G11" sqref="G11"/>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5.28515625" style="15" customWidth="1"/>
    <col min="9" max="9" width="19.85546875" style="15" customWidth="1"/>
    <col min="10" max="10" width="53.42578125" style="15" customWidth="1"/>
    <col min="11" max="12" width="20.140625" style="15" bestFit="1" customWidth="1"/>
    <col min="13" max="14" width="16.28515625" style="15" customWidth="1"/>
    <col min="15" max="16384" width="9.140625" style="15"/>
  </cols>
  <sheetData>
    <row r="4" spans="2:14">
      <c r="F4" s="40"/>
    </row>
    <row r="5" spans="2:14" ht="56.25" customHeight="1">
      <c r="B5" s="35" t="s">
        <v>46</v>
      </c>
      <c r="C5" s="36" t="s">
        <v>79</v>
      </c>
      <c r="D5" s="36" t="s">
        <v>80</v>
      </c>
      <c r="E5" s="37" t="s">
        <v>47</v>
      </c>
      <c r="F5" s="84" t="s">
        <v>76</v>
      </c>
      <c r="G5" s="91"/>
      <c r="H5" s="36" t="s">
        <v>81</v>
      </c>
      <c r="I5" s="42" t="s">
        <v>49</v>
      </c>
      <c r="J5" s="42" t="s">
        <v>50</v>
      </c>
      <c r="K5" s="35" t="s">
        <v>82</v>
      </c>
      <c r="L5" s="35" t="s">
        <v>83</v>
      </c>
      <c r="M5" s="35" t="s">
        <v>84</v>
      </c>
      <c r="N5" s="35" t="s">
        <v>85</v>
      </c>
    </row>
    <row r="6" spans="2:14" ht="45">
      <c r="B6" s="35"/>
      <c r="C6" s="36"/>
      <c r="D6" s="36"/>
      <c r="E6" s="37"/>
      <c r="F6" s="37" t="s">
        <v>51</v>
      </c>
      <c r="G6" s="35" t="s">
        <v>52</v>
      </c>
      <c r="H6" s="37"/>
      <c r="I6" s="42"/>
      <c r="J6" s="48" t="s">
        <v>86</v>
      </c>
      <c r="K6" s="28"/>
      <c r="L6" s="28"/>
      <c r="M6" s="28"/>
      <c r="N6" s="28"/>
    </row>
    <row r="7" spans="2:14" ht="18.75">
      <c r="B7" s="92" t="s">
        <v>87</v>
      </c>
      <c r="C7" s="95">
        <v>0.25</v>
      </c>
      <c r="D7" s="95">
        <v>0.24399999999999999</v>
      </c>
      <c r="E7" s="38" t="s">
        <v>88</v>
      </c>
      <c r="F7" s="44">
        <v>0</v>
      </c>
      <c r="G7" s="45">
        <v>8.8000000000000007</v>
      </c>
      <c r="H7" s="45">
        <f>G7/D$7</f>
        <v>36.06557377049181</v>
      </c>
      <c r="I7" s="46">
        <v>1</v>
      </c>
      <c r="J7" s="28"/>
      <c r="K7" s="44">
        <f>F7/C$7</f>
        <v>0</v>
      </c>
      <c r="L7" s="45">
        <f>G7/C$7</f>
        <v>35.200000000000003</v>
      </c>
      <c r="M7" s="51">
        <f>K7/Info!H$3</f>
        <v>0</v>
      </c>
      <c r="N7" s="51">
        <f>L7/Info!H$3</f>
        <v>3.5169658432277311</v>
      </c>
    </row>
    <row r="8" spans="2:14" ht="18.75">
      <c r="B8" s="93"/>
      <c r="C8" s="95"/>
      <c r="D8" s="95"/>
      <c r="E8" s="39" t="s">
        <v>89</v>
      </c>
      <c r="F8" s="44">
        <v>0</v>
      </c>
      <c r="G8" s="45">
        <v>9.61</v>
      </c>
      <c r="H8" s="45">
        <f t="shared" ref="H8:H13" si="0">G8/D$7</f>
        <v>39.385245901639344</v>
      </c>
      <c r="I8" s="46">
        <v>1</v>
      </c>
      <c r="J8" s="28"/>
      <c r="K8" s="44">
        <f t="shared" ref="K8:K13" si="1">F8/C$7</f>
        <v>0</v>
      </c>
      <c r="L8" s="45">
        <f t="shared" ref="L8:L13" si="2">G8/C$7</f>
        <v>38.44</v>
      </c>
      <c r="M8" s="51">
        <f>K8/Info!H$3</f>
        <v>0</v>
      </c>
      <c r="N8" s="51">
        <f>L8/Info!H$3</f>
        <v>3.840686562888465</v>
      </c>
    </row>
    <row r="9" spans="2:14" ht="30.75">
      <c r="B9" s="93"/>
      <c r="C9" s="95"/>
      <c r="D9" s="95"/>
      <c r="E9" s="39" t="s">
        <v>90</v>
      </c>
      <c r="F9" s="44">
        <v>0</v>
      </c>
      <c r="G9" s="45">
        <v>11.551144497251219</v>
      </c>
      <c r="H9" s="45">
        <f t="shared" si="0"/>
        <v>47.340756136275488</v>
      </c>
      <c r="I9" s="46">
        <v>1</v>
      </c>
      <c r="J9" s="28"/>
      <c r="K9" s="44">
        <f t="shared" si="1"/>
        <v>0</v>
      </c>
      <c r="L9" s="45">
        <f t="shared" si="2"/>
        <v>46.204577989004875</v>
      </c>
      <c r="M9" s="51">
        <f>K9/Info!H$3</f>
        <v>0</v>
      </c>
      <c r="N9" s="51">
        <f>L9/Info!H$3</f>
        <v>4.6164750735250566</v>
      </c>
    </row>
    <row r="10" spans="2:14" ht="30.75">
      <c r="B10" s="93"/>
      <c r="C10" s="95"/>
      <c r="D10" s="95"/>
      <c r="E10" s="39" t="s">
        <v>91</v>
      </c>
      <c r="F10" s="44">
        <v>0</v>
      </c>
      <c r="G10" s="45">
        <v>12.716151304533634</v>
      </c>
      <c r="H10" s="45">
        <f t="shared" si="0"/>
        <v>52.115374198908334</v>
      </c>
      <c r="I10" s="46">
        <v>2</v>
      </c>
      <c r="J10" s="28"/>
      <c r="K10" s="44">
        <f t="shared" si="1"/>
        <v>0</v>
      </c>
      <c r="L10" s="45">
        <f t="shared" si="2"/>
        <v>50.864605218134535</v>
      </c>
      <c r="M10" s="51">
        <f>K10/Info!H$3</f>
        <v>0</v>
      </c>
      <c r="N10" s="51">
        <f>L10/Info!H$3</f>
        <v>5.0820761131091521</v>
      </c>
    </row>
    <row r="11" spans="2:14" ht="30.75">
      <c r="B11" s="93"/>
      <c r="C11" s="95"/>
      <c r="D11" s="95"/>
      <c r="E11" s="39" t="s">
        <v>92</v>
      </c>
      <c r="F11" s="44">
        <v>0</v>
      </c>
      <c r="G11" s="45">
        <v>13.462020036388891</v>
      </c>
      <c r="H11" s="45">
        <f t="shared" si="0"/>
        <v>55.172213263888899</v>
      </c>
      <c r="I11" s="46">
        <v>3</v>
      </c>
      <c r="J11" s="28"/>
      <c r="K11" s="44">
        <f t="shared" si="1"/>
        <v>0</v>
      </c>
      <c r="L11" s="45">
        <f t="shared" si="2"/>
        <v>53.848080145555564</v>
      </c>
      <c r="M11" s="51">
        <f>K11/Info!H$3</f>
        <v>0</v>
      </c>
      <c r="N11" s="51">
        <f>L11/Info!H$3</f>
        <v>5.3801664373667117</v>
      </c>
    </row>
    <row r="12" spans="2:14" ht="30.75">
      <c r="B12" s="93"/>
      <c r="C12" s="95"/>
      <c r="D12" s="95"/>
      <c r="E12" s="39" t="s">
        <v>93</v>
      </c>
      <c r="F12" s="44">
        <v>0</v>
      </c>
      <c r="G12" s="45">
        <v>15.075552185476191</v>
      </c>
      <c r="H12" s="45">
        <f t="shared" si="0"/>
        <v>61.785049940476192</v>
      </c>
      <c r="I12" s="46">
        <v>4</v>
      </c>
      <c r="J12" s="28"/>
      <c r="K12" s="44">
        <f t="shared" si="1"/>
        <v>0</v>
      </c>
      <c r="L12" s="45">
        <f t="shared" si="2"/>
        <v>60.302208741904764</v>
      </c>
      <c r="M12" s="51">
        <f>K12/Info!H$3</f>
        <v>0</v>
      </c>
      <c r="N12" s="51">
        <f>L12/Info!H$3</f>
        <v>6.0250229663769241</v>
      </c>
    </row>
    <row r="13" spans="2:14" ht="30.75">
      <c r="B13" s="94"/>
      <c r="C13" s="95"/>
      <c r="D13" s="95"/>
      <c r="E13" s="39" t="s">
        <v>94</v>
      </c>
      <c r="F13" s="44">
        <v>0</v>
      </c>
      <c r="G13" s="45">
        <v>16.182070559523812</v>
      </c>
      <c r="H13" s="45">
        <f t="shared" si="0"/>
        <v>66.319961309523819</v>
      </c>
      <c r="I13" s="46">
        <v>9</v>
      </c>
      <c r="J13" s="28"/>
      <c r="K13" s="44">
        <f t="shared" si="1"/>
        <v>0</v>
      </c>
      <c r="L13" s="45">
        <f t="shared" si="2"/>
        <v>64.728282238095247</v>
      </c>
      <c r="M13" s="51">
        <f>K13/Info!H$3</f>
        <v>0</v>
      </c>
      <c r="N13" s="51">
        <f>L13/Info!H$3</f>
        <v>6.4672487989257155</v>
      </c>
    </row>
  </sheetData>
  <mergeCells count="4">
    <mergeCell ref="F5:G5"/>
    <mergeCell ref="B7:B13"/>
    <mergeCell ref="C7:C13"/>
    <mergeCell ref="D7:D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N18"/>
  <sheetViews>
    <sheetView topLeftCell="A8" zoomScaleNormal="100" workbookViewId="0">
      <selection activeCell="G13" sqref="G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c r="F4" s="40"/>
    </row>
    <row r="5" spans="2:14" ht="56.25" customHeight="1">
      <c r="B5" s="35" t="s">
        <v>46</v>
      </c>
      <c r="C5" s="36" t="s">
        <v>79</v>
      </c>
      <c r="D5" s="36" t="s">
        <v>80</v>
      </c>
      <c r="E5" s="37" t="s">
        <v>47</v>
      </c>
      <c r="F5" s="84" t="s">
        <v>76</v>
      </c>
      <c r="G5" s="91"/>
      <c r="H5" s="36" t="s">
        <v>81</v>
      </c>
      <c r="I5" s="42" t="s">
        <v>49</v>
      </c>
      <c r="J5" s="42" t="s">
        <v>50</v>
      </c>
      <c r="K5" s="35" t="s">
        <v>82</v>
      </c>
      <c r="L5" s="35" t="s">
        <v>83</v>
      </c>
      <c r="M5" s="35" t="s">
        <v>84</v>
      </c>
      <c r="N5" s="35" t="s">
        <v>85</v>
      </c>
    </row>
    <row r="6" spans="2:14" ht="21">
      <c r="B6" s="35"/>
      <c r="C6" s="36"/>
      <c r="D6" s="36"/>
      <c r="E6" s="37"/>
      <c r="F6" s="37" t="s">
        <v>51</v>
      </c>
      <c r="G6" s="43" t="s">
        <v>52</v>
      </c>
      <c r="H6" s="37"/>
      <c r="I6" s="42"/>
      <c r="J6" s="28"/>
      <c r="K6" s="28"/>
      <c r="L6" s="28"/>
      <c r="M6" s="28"/>
      <c r="N6" s="28"/>
    </row>
    <row r="7" spans="2:14" ht="18.75" customHeight="1">
      <c r="B7" s="86" t="s">
        <v>95</v>
      </c>
      <c r="C7" s="95">
        <v>0.15</v>
      </c>
      <c r="D7" s="95">
        <v>0.14399999999999999</v>
      </c>
      <c r="E7" s="38" t="s">
        <v>96</v>
      </c>
      <c r="F7" s="59">
        <v>0</v>
      </c>
      <c r="G7" s="51">
        <v>6.1836006440000002</v>
      </c>
      <c r="H7" s="45">
        <f>G7/D$7</f>
        <v>42.941671138888893</v>
      </c>
      <c r="I7" s="46">
        <v>1</v>
      </c>
      <c r="J7" s="28"/>
      <c r="K7" s="44">
        <f>F7/C$7</f>
        <v>0</v>
      </c>
      <c r="L7" s="45">
        <f>G7/C$7</f>
        <v>41.224004293333337</v>
      </c>
      <c r="M7" s="51">
        <f>K7/Info!H$3</f>
        <v>0</v>
      </c>
      <c r="N7" s="51">
        <f>L7/Info!H$3</f>
        <v>4.1188470176342804</v>
      </c>
    </row>
    <row r="8" spans="2:14" ht="30.75">
      <c r="B8" s="86"/>
      <c r="C8" s="95"/>
      <c r="D8" s="95"/>
      <c r="E8" s="39" t="s">
        <v>97</v>
      </c>
      <c r="F8" s="59">
        <v>0</v>
      </c>
      <c r="G8" s="51">
        <v>6.4341176859100697</v>
      </c>
      <c r="H8" s="45">
        <f t="shared" ref="H8:H13" si="0">G8/D$7</f>
        <v>44.681372818819931</v>
      </c>
      <c r="I8" s="46">
        <v>1</v>
      </c>
      <c r="J8" s="28"/>
      <c r="K8" s="44">
        <f t="shared" ref="K8:K14" si="1">F8/C$7</f>
        <v>0</v>
      </c>
      <c r="L8" s="45">
        <f t="shared" ref="L8:L14" si="2">G8/C$7</f>
        <v>42.89411790606713</v>
      </c>
      <c r="M8" s="51">
        <f>K8/Info!H$3</f>
        <v>0</v>
      </c>
      <c r="N8" s="51">
        <f>L8/Info!H$3</f>
        <v>4.2857144190630994</v>
      </c>
    </row>
    <row r="9" spans="2:14" ht="30.75">
      <c r="B9" s="86"/>
      <c r="C9" s="95"/>
      <c r="D9" s="95"/>
      <c r="E9" s="39" t="s">
        <v>90</v>
      </c>
      <c r="F9" s="59">
        <v>0</v>
      </c>
      <c r="G9" s="51">
        <v>6.8170688836236701</v>
      </c>
      <c r="H9" s="45">
        <f t="shared" si="0"/>
        <v>47.340756136275488</v>
      </c>
      <c r="I9" s="46">
        <v>1</v>
      </c>
      <c r="J9" s="50" t="s">
        <v>98</v>
      </c>
      <c r="K9" s="44">
        <f t="shared" si="1"/>
        <v>0</v>
      </c>
      <c r="L9" s="45">
        <f t="shared" si="2"/>
        <v>45.447125890824466</v>
      </c>
      <c r="M9" s="51">
        <f>K9/Info!H$3</f>
        <v>0</v>
      </c>
      <c r="N9" s="51">
        <f>L9/Info!H$3</f>
        <v>4.5407951542869407</v>
      </c>
    </row>
    <row r="10" spans="2:14" ht="30.75">
      <c r="B10" s="86"/>
      <c r="C10" s="95"/>
      <c r="D10" s="95"/>
      <c r="E10" s="39" t="s">
        <v>91</v>
      </c>
      <c r="F10" s="59">
        <v>0</v>
      </c>
      <c r="G10" s="51">
        <v>7.5046138846427999</v>
      </c>
      <c r="H10" s="45">
        <f t="shared" si="0"/>
        <v>52.115374198908334</v>
      </c>
      <c r="I10" s="46">
        <v>2</v>
      </c>
      <c r="J10" s="50" t="s">
        <v>98</v>
      </c>
      <c r="K10" s="44">
        <f t="shared" si="1"/>
        <v>0</v>
      </c>
      <c r="L10" s="45">
        <f t="shared" si="2"/>
        <v>50.030759230952</v>
      </c>
      <c r="M10" s="51">
        <f>K10/Info!H$3</f>
        <v>0</v>
      </c>
      <c r="N10" s="51">
        <f>L10/Info!H$3</f>
        <v>4.9987633899434281</v>
      </c>
    </row>
    <row r="11" spans="2:14" ht="30.75">
      <c r="B11" s="86"/>
      <c r="C11" s="95"/>
      <c r="D11" s="95"/>
      <c r="E11" s="39" t="s">
        <v>92</v>
      </c>
      <c r="F11" s="59">
        <v>0</v>
      </c>
      <c r="G11" s="51">
        <v>7.9447987100000006</v>
      </c>
      <c r="H11" s="45">
        <f t="shared" si="0"/>
        <v>55.172213263888899</v>
      </c>
      <c r="I11" s="46">
        <v>3</v>
      </c>
      <c r="J11" s="50" t="s">
        <v>98</v>
      </c>
      <c r="K11" s="44">
        <f t="shared" si="1"/>
        <v>0</v>
      </c>
      <c r="L11" s="45">
        <f t="shared" si="2"/>
        <v>52.96532473333334</v>
      </c>
      <c r="M11" s="51">
        <f>K11/Info!H$3</f>
        <v>0</v>
      </c>
      <c r="N11" s="51">
        <f>L11/Info!H$3</f>
        <v>5.2919669875738142</v>
      </c>
    </row>
    <row r="12" spans="2:14" ht="30.75">
      <c r="B12" s="86"/>
      <c r="C12" s="95"/>
      <c r="D12" s="95"/>
      <c r="E12" s="39" t="s">
        <v>99</v>
      </c>
      <c r="F12" s="59">
        <v>0</v>
      </c>
      <c r="G12" s="51">
        <v>8.8970471914285714</v>
      </c>
      <c r="H12" s="45">
        <f t="shared" si="0"/>
        <v>61.785049940476192</v>
      </c>
      <c r="I12" s="46">
        <v>4</v>
      </c>
      <c r="J12" s="50" t="s">
        <v>98</v>
      </c>
      <c r="K12" s="44">
        <f t="shared" si="1"/>
        <v>0</v>
      </c>
      <c r="L12" s="45">
        <f t="shared" si="2"/>
        <v>59.313647942857145</v>
      </c>
      <c r="M12" s="51">
        <f>K12/Info!H$3</f>
        <v>0</v>
      </c>
      <c r="N12" s="51">
        <f>L12/Info!H$3</f>
        <v>5.926252098075663</v>
      </c>
    </row>
    <row r="13" spans="2:14" ht="30.75">
      <c r="B13" s="86"/>
      <c r="C13" s="95"/>
      <c r="D13" s="95"/>
      <c r="E13" s="39" t="s">
        <v>100</v>
      </c>
      <c r="F13" s="59">
        <v>0</v>
      </c>
      <c r="G13" s="51">
        <v>9.5500744285714294</v>
      </c>
      <c r="H13" s="45">
        <f t="shared" si="0"/>
        <v>66.319961309523819</v>
      </c>
      <c r="I13" s="46">
        <v>9</v>
      </c>
      <c r="J13" s="50" t="s">
        <v>98</v>
      </c>
      <c r="K13" s="44">
        <f t="shared" si="1"/>
        <v>0</v>
      </c>
      <c r="L13" s="45">
        <f t="shared" si="2"/>
        <v>63.667162857142863</v>
      </c>
      <c r="M13" s="51">
        <f>K13/Info!H$3</f>
        <v>0</v>
      </c>
      <c r="N13" s="51">
        <f>L13/Info!H$3</f>
        <v>6.3612283268121796</v>
      </c>
    </row>
    <row r="14" spans="2:14" ht="45.75">
      <c r="B14" s="86"/>
      <c r="C14" s="95"/>
      <c r="D14" s="95"/>
      <c r="E14" s="39" t="s">
        <v>101</v>
      </c>
      <c r="F14" s="59">
        <v>0</v>
      </c>
      <c r="G14" s="51">
        <f>G13*(0.144+0.06)/0.144</f>
        <v>13.529272107142859</v>
      </c>
      <c r="H14" s="45">
        <f t="shared" ref="H14" si="3">G14/D$7</f>
        <v>93.953278521825411</v>
      </c>
      <c r="I14" s="46">
        <v>10</v>
      </c>
      <c r="J14" s="50" t="s">
        <v>102</v>
      </c>
      <c r="K14" s="44">
        <f t="shared" si="1"/>
        <v>0</v>
      </c>
      <c r="L14" s="45">
        <f t="shared" si="2"/>
        <v>90.195147380952392</v>
      </c>
      <c r="M14" s="51"/>
      <c r="N14" s="51"/>
    </row>
    <row r="18" spans="7:7">
      <c r="G18" s="40"/>
    </row>
  </sheetData>
  <mergeCells count="4">
    <mergeCell ref="F5:G5"/>
    <mergeCell ref="B7:B14"/>
    <mergeCell ref="C7:C14"/>
    <mergeCell ref="D7:D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N12"/>
  <sheetViews>
    <sheetView topLeftCell="A5" zoomScaleNormal="100" workbookViewId="0">
      <selection activeCell="E8" sqref="E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c r="F4" s="40"/>
    </row>
    <row r="5" spans="2:14" ht="56.25" customHeight="1">
      <c r="B5" s="35" t="s">
        <v>46</v>
      </c>
      <c r="C5" s="36" t="s">
        <v>79</v>
      </c>
      <c r="D5" s="36" t="s">
        <v>80</v>
      </c>
      <c r="E5" s="37" t="s">
        <v>47</v>
      </c>
      <c r="F5" s="84" t="s">
        <v>76</v>
      </c>
      <c r="G5" s="91"/>
      <c r="H5" s="36" t="s">
        <v>81</v>
      </c>
      <c r="I5" s="42" t="s">
        <v>49</v>
      </c>
      <c r="J5" s="42" t="s">
        <v>50</v>
      </c>
      <c r="K5" s="35" t="s">
        <v>82</v>
      </c>
      <c r="L5" s="35" t="s">
        <v>83</v>
      </c>
      <c r="M5" s="35" t="s">
        <v>84</v>
      </c>
      <c r="N5" s="35" t="s">
        <v>85</v>
      </c>
    </row>
    <row r="6" spans="2:14" ht="21">
      <c r="B6" s="35"/>
      <c r="C6" s="36"/>
      <c r="D6" s="36"/>
      <c r="E6" s="37"/>
      <c r="F6" s="37" t="s">
        <v>51</v>
      </c>
      <c r="G6" s="43" t="s">
        <v>52</v>
      </c>
      <c r="H6" s="37"/>
      <c r="I6" s="42"/>
      <c r="J6" s="28"/>
      <c r="K6" s="28"/>
      <c r="L6" s="28"/>
      <c r="M6" s="28"/>
      <c r="N6" s="28"/>
    </row>
    <row r="7" spans="2:14" ht="50.25" customHeight="1">
      <c r="B7" s="86" t="s">
        <v>103</v>
      </c>
      <c r="C7" s="95">
        <v>0.05</v>
      </c>
      <c r="D7" s="95">
        <v>0.05</v>
      </c>
      <c r="E7" s="50" t="s">
        <v>104</v>
      </c>
      <c r="F7" s="59">
        <v>0</v>
      </c>
      <c r="G7" s="51">
        <f>6.183600644/3</f>
        <v>2.0612002146666666</v>
      </c>
      <c r="H7" s="45">
        <f>G7/D$7</f>
        <v>41.22400429333333</v>
      </c>
      <c r="I7" s="46">
        <v>1</v>
      </c>
      <c r="J7" s="50"/>
      <c r="K7" s="44">
        <f>F7/C$7</f>
        <v>0</v>
      </c>
      <c r="L7" s="45">
        <f>G7/C$7</f>
        <v>41.22400429333333</v>
      </c>
      <c r="M7" s="51">
        <f>K7/Info!H$3</f>
        <v>0</v>
      </c>
      <c r="N7" s="51">
        <f>L7/Info!H$3</f>
        <v>4.1188470176342795</v>
      </c>
    </row>
    <row r="8" spans="2:14" ht="30.75">
      <c r="B8" s="86"/>
      <c r="C8" s="95"/>
      <c r="D8" s="95"/>
      <c r="E8" s="50" t="s">
        <v>105</v>
      </c>
      <c r="F8" s="59">
        <v>0</v>
      </c>
      <c r="G8" s="51">
        <f>9.55007442857143/3</f>
        <v>3.1833581428571431</v>
      </c>
      <c r="H8" s="45">
        <f t="shared" ref="H8" si="0">G8/D$7</f>
        <v>63.667162857142863</v>
      </c>
      <c r="I8" s="46">
        <v>2</v>
      </c>
      <c r="J8" s="28"/>
      <c r="K8" s="44">
        <f t="shared" ref="K8" si="1">F8/C$7</f>
        <v>0</v>
      </c>
      <c r="L8" s="45">
        <f t="shared" ref="L8" si="2">G8/C$7</f>
        <v>63.667162857142863</v>
      </c>
      <c r="M8" s="51">
        <f>K8/Info!H$3</f>
        <v>0</v>
      </c>
      <c r="N8" s="51">
        <f>L8/Info!H$3</f>
        <v>6.3612283268121796</v>
      </c>
    </row>
    <row r="12" spans="2:14">
      <c r="G12" s="40"/>
    </row>
  </sheetData>
  <mergeCells count="4">
    <mergeCell ref="F5:G5"/>
    <mergeCell ref="B7:B8"/>
    <mergeCell ref="C7:C8"/>
    <mergeCell ref="D7:D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N14"/>
  <sheetViews>
    <sheetView topLeftCell="A13" zoomScaleNormal="100" workbookViewId="0">
      <selection activeCell="H13" sqref="H13"/>
    </sheetView>
  </sheetViews>
  <sheetFormatPr defaultColWidth="9.140625" defaultRowHeight="15"/>
  <cols>
    <col min="1" max="1" width="9.140625" style="15"/>
    <col min="2" max="2" width="33.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2" spans="2:14">
      <c r="B2" s="68" t="s">
        <v>106</v>
      </c>
      <c r="H2" s="40"/>
    </row>
    <row r="4" spans="2:14">
      <c r="F4" s="40"/>
    </row>
    <row r="5" spans="2:14" ht="72.75" customHeight="1">
      <c r="B5" s="35" t="s">
        <v>107</v>
      </c>
      <c r="C5" s="36" t="s">
        <v>79</v>
      </c>
      <c r="D5" s="36" t="s">
        <v>80</v>
      </c>
      <c r="E5" s="37" t="s">
        <v>47</v>
      </c>
      <c r="F5" s="84" t="s">
        <v>76</v>
      </c>
      <c r="G5" s="91"/>
      <c r="H5" s="36" t="s">
        <v>81</v>
      </c>
      <c r="I5" s="42" t="s">
        <v>49</v>
      </c>
      <c r="J5" s="42" t="s">
        <v>50</v>
      </c>
      <c r="K5" s="35" t="s">
        <v>82</v>
      </c>
      <c r="L5" s="35" t="s">
        <v>83</v>
      </c>
      <c r="M5" s="35" t="s">
        <v>84</v>
      </c>
      <c r="N5" s="35" t="s">
        <v>85</v>
      </c>
    </row>
    <row r="6" spans="2:14" ht="21">
      <c r="B6" s="35"/>
      <c r="C6" s="36"/>
      <c r="D6" s="36"/>
      <c r="E6" s="37"/>
      <c r="F6" s="37" t="s">
        <v>51</v>
      </c>
      <c r="G6" s="43" t="s">
        <v>52</v>
      </c>
      <c r="H6" s="37"/>
      <c r="I6" s="42"/>
      <c r="J6" s="28"/>
      <c r="K6" s="28"/>
      <c r="L6" s="28"/>
      <c r="M6" s="28"/>
      <c r="N6" s="28"/>
    </row>
    <row r="7" spans="2:14" ht="29.25" customHeight="1">
      <c r="B7" s="86" t="s">
        <v>108</v>
      </c>
      <c r="C7" s="95">
        <v>0.15</v>
      </c>
      <c r="D7" s="95">
        <v>0.14399999999999999</v>
      </c>
      <c r="E7" s="38" t="s">
        <v>96</v>
      </c>
      <c r="F7" s="44">
        <v>0</v>
      </c>
      <c r="G7" s="45">
        <f>6.183600644*(25/34)^2</f>
        <v>3.3432096907439455</v>
      </c>
      <c r="H7" s="45">
        <f>G7/D$7</f>
        <v>23.216733963499625</v>
      </c>
      <c r="I7" s="46">
        <v>1</v>
      </c>
      <c r="J7" s="50" t="s">
        <v>109</v>
      </c>
      <c r="K7" s="44">
        <f>F7/C$7</f>
        <v>0</v>
      </c>
      <c r="L7" s="45">
        <f>G7/C$7</f>
        <v>22.288064604959636</v>
      </c>
      <c r="M7" s="51">
        <f>K7/Info!H$3</f>
        <v>0</v>
      </c>
      <c r="N7" s="51">
        <f>L7/Info!H$3</f>
        <v>2.2268852820254548</v>
      </c>
    </row>
    <row r="8" spans="2:14" ht="30.75">
      <c r="B8" s="86"/>
      <c r="C8" s="95"/>
      <c r="D8" s="95"/>
      <c r="E8" s="39" t="s">
        <v>97</v>
      </c>
      <c r="F8" s="44">
        <v>0</v>
      </c>
      <c r="G8" s="45">
        <f>6.43411768591007*(25/34)^2</f>
        <v>3.4786535931607219</v>
      </c>
      <c r="H8" s="45">
        <f t="shared" ref="H8:H14" si="0">G8/D$7</f>
        <v>24.157316619171681</v>
      </c>
      <c r="I8" s="46">
        <v>1</v>
      </c>
      <c r="J8" s="28"/>
      <c r="K8" s="44">
        <f t="shared" ref="K8:K14" si="1">F8/C$7</f>
        <v>0</v>
      </c>
      <c r="L8" s="45">
        <f t="shared" ref="L8:L14" si="2">G8/C$7</f>
        <v>23.191023954404812</v>
      </c>
      <c r="M8" s="51">
        <f>K8/Info!H$3</f>
        <v>0</v>
      </c>
      <c r="N8" s="51">
        <f>L8/Info!H$3</f>
        <v>2.3171033840090289</v>
      </c>
    </row>
    <row r="9" spans="2:14" ht="30.75">
      <c r="B9" s="86"/>
      <c r="C9" s="95"/>
      <c r="D9" s="95"/>
      <c r="E9" s="39" t="s">
        <v>90</v>
      </c>
      <c r="F9" s="44">
        <v>0</v>
      </c>
      <c r="G9" s="45">
        <f>6.81706888362367*(25/34)^2</f>
        <v>3.6856990071494766</v>
      </c>
      <c r="H9" s="45">
        <f t="shared" si="0"/>
        <v>25.595131994093588</v>
      </c>
      <c r="I9" s="46">
        <v>1</v>
      </c>
      <c r="J9" s="28"/>
      <c r="K9" s="44">
        <f t="shared" si="1"/>
        <v>0</v>
      </c>
      <c r="L9" s="45">
        <f t="shared" si="2"/>
        <v>24.571326714329846</v>
      </c>
      <c r="M9" s="51">
        <f>K9/Info!H$3</f>
        <v>0</v>
      </c>
      <c r="N9" s="51">
        <f>L9/Info!H$3</f>
        <v>2.4550146811672482</v>
      </c>
    </row>
    <row r="10" spans="2:14" ht="30.75">
      <c r="B10" s="86"/>
      <c r="C10" s="95"/>
      <c r="D10" s="95"/>
      <c r="E10" s="39" t="s">
        <v>91</v>
      </c>
      <c r="F10" s="44">
        <v>0</v>
      </c>
      <c r="G10" s="45">
        <f>7.5046138846428*(25/34)^2</f>
        <v>4.057425326904629</v>
      </c>
      <c r="H10" s="45">
        <f t="shared" si="0"/>
        <v>28.176564770171037</v>
      </c>
      <c r="I10" s="46">
        <v>2</v>
      </c>
      <c r="J10" s="28"/>
      <c r="K10" s="44">
        <f t="shared" si="1"/>
        <v>0</v>
      </c>
      <c r="L10" s="45">
        <f t="shared" si="2"/>
        <v>27.049502179364193</v>
      </c>
      <c r="M10" s="51">
        <f>K10/Info!H$3</f>
        <v>0</v>
      </c>
      <c r="N10" s="51">
        <f>L10/Info!H$3</f>
        <v>2.7026186148050551</v>
      </c>
    </row>
    <row r="11" spans="2:14" ht="30.75">
      <c r="B11" s="86"/>
      <c r="C11" s="95"/>
      <c r="D11" s="95"/>
      <c r="E11" s="39" t="s">
        <v>92</v>
      </c>
      <c r="F11" s="44">
        <v>0</v>
      </c>
      <c r="G11" s="45">
        <f>7.94479871*(25/34)^2</f>
        <v>4.2954145274653985</v>
      </c>
      <c r="H11" s="45">
        <f t="shared" si="0"/>
        <v>29.829267551843049</v>
      </c>
      <c r="I11" s="46">
        <v>3</v>
      </c>
      <c r="J11" s="28"/>
      <c r="K11" s="44">
        <f t="shared" si="1"/>
        <v>0</v>
      </c>
      <c r="L11" s="45">
        <f t="shared" si="2"/>
        <v>28.636096849769324</v>
      </c>
      <c r="M11" s="51">
        <f>K11/Info!H$3</f>
        <v>0</v>
      </c>
      <c r="N11" s="51">
        <f>L11/Info!H$3</f>
        <v>2.8611413211363619</v>
      </c>
    </row>
    <row r="12" spans="2:14" ht="30.75">
      <c r="B12" s="86"/>
      <c r="C12" s="95"/>
      <c r="D12" s="95"/>
      <c r="E12" s="39" t="s">
        <v>93</v>
      </c>
      <c r="F12" s="44">
        <v>0</v>
      </c>
      <c r="G12" s="45">
        <f>8.89704719142857*(25/34)^2</f>
        <v>4.8102547531512609</v>
      </c>
      <c r="H12" s="45">
        <f t="shared" si="0"/>
        <v>33.404546896883758</v>
      </c>
      <c r="I12" s="46">
        <v>4</v>
      </c>
      <c r="J12" s="28"/>
      <c r="K12" s="44">
        <f t="shared" si="1"/>
        <v>0</v>
      </c>
      <c r="L12" s="45">
        <f t="shared" si="2"/>
        <v>32.068365021008411</v>
      </c>
      <c r="M12" s="51">
        <f>K12/Info!H$3</f>
        <v>0</v>
      </c>
      <c r="N12" s="51">
        <f>L12/Info!H$3</f>
        <v>3.2040722848592473</v>
      </c>
    </row>
    <row r="13" spans="2:14" ht="30.75">
      <c r="B13" s="86"/>
      <c r="C13" s="95"/>
      <c r="D13" s="95"/>
      <c r="E13" s="39" t="s">
        <v>110</v>
      </c>
      <c r="F13" s="44">
        <v>0</v>
      </c>
      <c r="G13" s="45">
        <v>7</v>
      </c>
      <c r="H13" s="45">
        <f t="shared" si="0"/>
        <v>48.611111111111114</v>
      </c>
      <c r="I13" s="46">
        <v>10</v>
      </c>
      <c r="J13" s="41" t="s">
        <v>111</v>
      </c>
      <c r="K13" s="44">
        <f t="shared" si="1"/>
        <v>0</v>
      </c>
      <c r="L13" s="45">
        <f t="shared" si="2"/>
        <v>46.666666666666671</v>
      </c>
      <c r="M13" s="51">
        <f>K13/Info!H$3</f>
        <v>0</v>
      </c>
      <c r="N13" s="51">
        <f>L13/Info!H$3</f>
        <v>4.6626441103397953</v>
      </c>
    </row>
    <row r="14" spans="2:14" ht="45.75">
      <c r="B14" s="86"/>
      <c r="C14" s="95"/>
      <c r="D14" s="95"/>
      <c r="E14" s="39" t="s">
        <v>112</v>
      </c>
      <c r="F14" s="44">
        <v>0</v>
      </c>
      <c r="G14" s="45">
        <v>10</v>
      </c>
      <c r="H14" s="45">
        <f t="shared" si="0"/>
        <v>69.444444444444443</v>
      </c>
      <c r="I14" s="46">
        <v>11</v>
      </c>
      <c r="J14" s="41" t="s">
        <v>111</v>
      </c>
      <c r="K14" s="44">
        <f t="shared" si="1"/>
        <v>0</v>
      </c>
      <c r="L14" s="45">
        <f t="shared" si="2"/>
        <v>66.666666666666671</v>
      </c>
      <c r="M14" s="51"/>
      <c r="N14" s="51"/>
    </row>
  </sheetData>
  <mergeCells count="4">
    <mergeCell ref="F5:G5"/>
    <mergeCell ref="B7:B14"/>
    <mergeCell ref="C7:C14"/>
    <mergeCell ref="D7:D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C5BBEA7-67A3-432A-AE03-2A734A9CF25D}"/>
</file>

<file path=customXml/itemProps2.xml><?xml version="1.0" encoding="utf-8"?>
<ds:datastoreItem xmlns:ds="http://schemas.openxmlformats.org/officeDocument/2006/customXml" ds:itemID="{3BFA4ABD-F06E-4696-B388-A2D2A8A7DCAB}"/>
</file>

<file path=customXml/itemProps3.xml><?xml version="1.0" encoding="utf-8"?>
<ds:datastoreItem xmlns:ds="http://schemas.openxmlformats.org/officeDocument/2006/customXml" ds:itemID="{B8C6A622-D92B-4BBB-8157-73A661038B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Henrique Caiafa Duarte</cp:lastModifiedBy>
  <cp:revision/>
  <dcterms:created xsi:type="dcterms:W3CDTF">2024-03-30T07:19:31Z</dcterms:created>
  <dcterms:modified xsi:type="dcterms:W3CDTF">2025-03-17T14:49:58Z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