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mc:AlternateContent xmlns:mc="http://schemas.openxmlformats.org/markup-compatibility/2006">
    <mc:Choice Requires="x15">
      <x15ac:absPath xmlns:x15ac="http://schemas.microsoft.com/office/spreadsheetml/2010/11/ac" url="F:\Lalaina\Documents\Revue Processus\"/>
    </mc:Choice>
  </mc:AlternateContent>
  <bookViews>
    <workbookView xWindow="0" yWindow="0" windowWidth="22185" windowHeight="7335" tabRatio="729" activeTab="6"/>
  </bookViews>
  <sheets>
    <sheet name="Objectif" sheetId="9" r:id="rId1"/>
    <sheet name="Suivi activité" sheetId="11" r:id="rId2"/>
    <sheet name="Application du Lean" sheetId="10" r:id="rId3"/>
    <sheet name="M&amp;Q" sheetId="1" r:id="rId4"/>
    <sheet name="PROD" sheetId="2" r:id="rId5"/>
    <sheet name="ETUDES" sheetId="3" r:id="rId6"/>
    <sheet name="DEV" sheetId="4" r:id="rId7"/>
    <sheet name="DSI" sheetId="5" r:id="rId8"/>
    <sheet name="RH" sheetId="6" r:id="rId9"/>
    <sheet name="ADMIN" sheetId="7" r:id="rId10"/>
    <sheet name="SG" sheetId="8" r:id="rId11"/>
  </sheets>
  <externalReferences>
    <externalReference r:id="rId12"/>
  </externalReferences>
  <definedNames>
    <definedName name="CONSEQUENCE">[1]Matrix!$H$3:$H$8</definedName>
    <definedName name="LIKELYHOOD">[1]Matrix!$F$3:$F$8</definedName>
    <definedName name="RISK_DESC">[1]Matrix!$C$4:$D$28</definedName>
    <definedName name="RISK_MATRIX">[1]Matrix!$A$3:$D$28</definedName>
  </definedNames>
  <calcPr calcId="171027" concurrentCalc="0"/>
</workbook>
</file>

<file path=xl/calcChain.xml><?xml version="1.0" encoding="utf-8"?>
<calcChain xmlns="http://schemas.openxmlformats.org/spreadsheetml/2006/main">
  <c r="E20" i="8" l="1"/>
  <c r="L20" i="8"/>
  <c r="L21" i="7"/>
  <c r="E19" i="6"/>
  <c r="L19" i="6"/>
  <c r="E21" i="7"/>
  <c r="E19" i="5"/>
  <c r="E18" i="4"/>
  <c r="E16" i="3"/>
  <c r="E19" i="2"/>
  <c r="E20" i="1"/>
  <c r="L18" i="4"/>
  <c r="L19" i="2"/>
  <c r="L16" i="3"/>
  <c r="L20" i="1"/>
  <c r="E27" i="8"/>
  <c r="H27" i="8"/>
  <c r="E28" i="8"/>
  <c r="H28" i="8"/>
  <c r="E29" i="8"/>
  <c r="H29" i="8"/>
  <c r="E30" i="8"/>
  <c r="H30" i="8"/>
  <c r="E31" i="8"/>
  <c r="H31" i="8"/>
  <c r="E32" i="8"/>
  <c r="H32" i="8"/>
  <c r="E33" i="8"/>
  <c r="H33" i="8"/>
  <c r="E34" i="8"/>
  <c r="H34" i="8"/>
  <c r="E35" i="8"/>
  <c r="H35" i="8"/>
  <c r="H36" i="8"/>
  <c r="G36" i="8"/>
  <c r="E36" i="8"/>
  <c r="F36" i="8"/>
  <c r="F35" i="8"/>
  <c r="F34" i="8"/>
  <c r="F33" i="8"/>
  <c r="F32" i="8"/>
  <c r="F31" i="8"/>
  <c r="F30" i="8"/>
  <c r="F29" i="8"/>
  <c r="F28" i="8"/>
  <c r="F27" i="8"/>
  <c r="E15" i="8"/>
  <c r="D15" i="8"/>
  <c r="H15" i="8"/>
  <c r="E17" i="8"/>
  <c r="D17" i="8"/>
  <c r="H17" i="8"/>
  <c r="E18" i="8"/>
  <c r="D18" i="8"/>
  <c r="H18" i="8"/>
  <c r="H20" i="8"/>
  <c r="E21" i="8"/>
  <c r="H21" i="8"/>
  <c r="H22" i="8"/>
  <c r="G22" i="8"/>
  <c r="E22" i="8"/>
  <c r="F22" i="8"/>
  <c r="F21" i="8"/>
  <c r="F20" i="8"/>
  <c r="F18" i="8"/>
  <c r="C15" i="8"/>
  <c r="C17" i="8"/>
  <c r="C18" i="8"/>
  <c r="F17" i="8"/>
  <c r="F15" i="8"/>
  <c r="E4" i="8"/>
  <c r="H4" i="8"/>
  <c r="E5" i="8"/>
  <c r="H5" i="8"/>
  <c r="E6" i="8"/>
  <c r="H6" i="8"/>
  <c r="E7" i="8"/>
  <c r="H7" i="8"/>
  <c r="E8" i="8"/>
  <c r="H8" i="8"/>
  <c r="E9" i="8"/>
  <c r="H9" i="8"/>
  <c r="H10" i="8"/>
  <c r="G10" i="8"/>
  <c r="E10" i="8"/>
  <c r="E28" i="7"/>
  <c r="H28" i="7"/>
  <c r="E29" i="7"/>
  <c r="H29" i="7"/>
  <c r="E30" i="7"/>
  <c r="H30" i="7"/>
  <c r="E31" i="7"/>
  <c r="H31" i="7"/>
  <c r="E32" i="7"/>
  <c r="H32" i="7"/>
  <c r="E33" i="7"/>
  <c r="H33" i="7"/>
  <c r="E34" i="7"/>
  <c r="H34" i="7"/>
  <c r="E35" i="7"/>
  <c r="H35" i="7"/>
  <c r="E36" i="7"/>
  <c r="H36" i="7"/>
  <c r="H37" i="7"/>
  <c r="G37" i="7"/>
  <c r="E37" i="7"/>
  <c r="F37" i="7"/>
  <c r="F36" i="7"/>
  <c r="F35" i="7"/>
  <c r="F34" i="7"/>
  <c r="F33" i="7"/>
  <c r="F32" i="7"/>
  <c r="F31" i="7"/>
  <c r="F30" i="7"/>
  <c r="F29" i="7"/>
  <c r="F28" i="7"/>
  <c r="E16" i="7"/>
  <c r="D16" i="7"/>
  <c r="H16" i="7"/>
  <c r="E18" i="7"/>
  <c r="D18" i="7"/>
  <c r="H18" i="7"/>
  <c r="E19" i="7"/>
  <c r="D19" i="7"/>
  <c r="H19" i="7"/>
  <c r="H21" i="7"/>
  <c r="E22" i="7"/>
  <c r="H22" i="7"/>
  <c r="H23" i="7"/>
  <c r="G23" i="7"/>
  <c r="E23" i="7"/>
  <c r="F23" i="7"/>
  <c r="F22" i="7"/>
  <c r="F21" i="7"/>
  <c r="F19" i="7"/>
  <c r="C16" i="7"/>
  <c r="C18" i="7"/>
  <c r="C19" i="7"/>
  <c r="F18" i="7"/>
  <c r="F16" i="7"/>
  <c r="E4" i="7"/>
  <c r="H4" i="7"/>
  <c r="E5" i="7"/>
  <c r="H5" i="7"/>
  <c r="E6" i="7"/>
  <c r="H6" i="7"/>
  <c r="E7" i="7"/>
  <c r="H7" i="7"/>
  <c r="E8" i="7"/>
  <c r="H8" i="7"/>
  <c r="E9" i="7"/>
  <c r="H9" i="7"/>
  <c r="H11" i="7"/>
  <c r="G11" i="7"/>
  <c r="E11" i="7"/>
  <c r="F11" i="7"/>
  <c r="E10" i="7"/>
  <c r="H10" i="7"/>
  <c r="F10" i="7"/>
  <c r="F9" i="7"/>
  <c r="F8" i="7"/>
  <c r="F7" i="7"/>
  <c r="F6" i="7"/>
  <c r="F5" i="7"/>
  <c r="F4" i="7"/>
  <c r="E26" i="6"/>
  <c r="H26" i="6"/>
  <c r="E27" i="6"/>
  <c r="H27" i="6"/>
  <c r="E28" i="6"/>
  <c r="H28" i="6"/>
  <c r="E29" i="6"/>
  <c r="H29" i="6"/>
  <c r="E30" i="6"/>
  <c r="H30" i="6"/>
  <c r="E31" i="6"/>
  <c r="H31" i="6"/>
  <c r="E32" i="6"/>
  <c r="H32" i="6"/>
  <c r="E33" i="6"/>
  <c r="H33" i="6"/>
  <c r="E34" i="6"/>
  <c r="H34" i="6"/>
  <c r="H35" i="6"/>
  <c r="G35" i="6"/>
  <c r="E35" i="6"/>
  <c r="F35" i="6"/>
  <c r="F34" i="6"/>
  <c r="F33" i="6"/>
  <c r="F32" i="6"/>
  <c r="F31" i="6"/>
  <c r="F30" i="6"/>
  <c r="F29" i="6"/>
  <c r="F28" i="6"/>
  <c r="F27" i="6"/>
  <c r="F26" i="6"/>
  <c r="E14" i="6"/>
  <c r="D14" i="6"/>
  <c r="H14" i="6"/>
  <c r="E16" i="6"/>
  <c r="D16" i="6"/>
  <c r="H16" i="6"/>
  <c r="E17" i="6"/>
  <c r="D17" i="6"/>
  <c r="H17" i="6"/>
  <c r="H19" i="6"/>
  <c r="E20" i="6"/>
  <c r="H20" i="6"/>
  <c r="H21" i="6"/>
  <c r="G21" i="6"/>
  <c r="E21" i="6"/>
  <c r="F21" i="6"/>
  <c r="F20" i="6"/>
  <c r="F19" i="6"/>
  <c r="F17" i="6"/>
  <c r="C14" i="6"/>
  <c r="C16" i="6"/>
  <c r="C17" i="6"/>
  <c r="F16" i="6"/>
  <c r="F14" i="6"/>
  <c r="E4" i="6"/>
  <c r="H4" i="6"/>
  <c r="E5" i="6"/>
  <c r="H5" i="6"/>
  <c r="E6" i="6"/>
  <c r="H6" i="6"/>
  <c r="E7" i="6"/>
  <c r="H7" i="6"/>
  <c r="E8" i="6"/>
  <c r="H8" i="6"/>
  <c r="H9" i="6"/>
  <c r="G9" i="6"/>
  <c r="E9" i="6"/>
  <c r="F9" i="6"/>
  <c r="F8" i="6"/>
  <c r="F7" i="6"/>
  <c r="F6" i="6"/>
  <c r="F5" i="6"/>
  <c r="F4" i="6"/>
  <c r="E26" i="5"/>
  <c r="H26" i="5"/>
  <c r="E27" i="5"/>
  <c r="H27" i="5"/>
  <c r="E28" i="5"/>
  <c r="H28" i="5"/>
  <c r="E29" i="5"/>
  <c r="H29" i="5"/>
  <c r="E30" i="5"/>
  <c r="H30" i="5"/>
  <c r="E31" i="5"/>
  <c r="H31" i="5"/>
  <c r="E32" i="5"/>
  <c r="H32" i="5"/>
  <c r="E33" i="5"/>
  <c r="H33" i="5"/>
  <c r="E34" i="5"/>
  <c r="H34" i="5"/>
  <c r="H35" i="5"/>
  <c r="G35" i="5"/>
  <c r="E35" i="5"/>
  <c r="F35" i="5"/>
  <c r="F34" i="5"/>
  <c r="F33" i="5"/>
  <c r="F32" i="5"/>
  <c r="F31" i="5"/>
  <c r="F30" i="5"/>
  <c r="F29" i="5"/>
  <c r="F28" i="5"/>
  <c r="F27" i="5"/>
  <c r="F26" i="5"/>
  <c r="E14" i="5"/>
  <c r="D14" i="5"/>
  <c r="H14" i="5"/>
  <c r="E16" i="5"/>
  <c r="D16" i="5"/>
  <c r="H16" i="5"/>
  <c r="E17" i="5"/>
  <c r="D17" i="5"/>
  <c r="H17" i="5"/>
  <c r="H19" i="5"/>
  <c r="E20" i="5"/>
  <c r="H20" i="5"/>
  <c r="H21" i="5"/>
  <c r="G21" i="5"/>
  <c r="E21" i="5"/>
  <c r="F21" i="5"/>
  <c r="F20" i="5"/>
  <c r="F19" i="5"/>
  <c r="F17" i="5"/>
  <c r="C14" i="5"/>
  <c r="C16" i="5"/>
  <c r="C17" i="5"/>
  <c r="F16" i="5"/>
  <c r="F14" i="5"/>
  <c r="E5" i="5"/>
  <c r="H5" i="5"/>
  <c r="E6" i="5"/>
  <c r="H6" i="5"/>
  <c r="E7" i="5"/>
  <c r="H7" i="5"/>
  <c r="E8" i="5"/>
  <c r="H8" i="5"/>
  <c r="H9" i="5"/>
  <c r="G9" i="5"/>
  <c r="E9" i="5"/>
  <c r="F9" i="5"/>
  <c r="F8" i="5"/>
  <c r="F7" i="5"/>
  <c r="F6" i="5"/>
  <c r="F5" i="5"/>
  <c r="E4" i="5"/>
  <c r="F4" i="5"/>
  <c r="E25" i="4"/>
  <c r="H25" i="4"/>
  <c r="E26" i="4"/>
  <c r="H26" i="4"/>
  <c r="E27" i="4"/>
  <c r="H27" i="4"/>
  <c r="E28" i="4"/>
  <c r="H28" i="4"/>
  <c r="E29" i="4"/>
  <c r="H29" i="4"/>
  <c r="E30" i="4"/>
  <c r="H30" i="4"/>
  <c r="E31" i="4"/>
  <c r="H31" i="4"/>
  <c r="E32" i="4"/>
  <c r="H32" i="4"/>
  <c r="E33" i="4"/>
  <c r="H33" i="4"/>
  <c r="H34" i="4"/>
  <c r="G34" i="4"/>
  <c r="E34" i="4"/>
  <c r="F34" i="4"/>
  <c r="F33" i="4"/>
  <c r="F32" i="4"/>
  <c r="F31" i="4"/>
  <c r="F30" i="4"/>
  <c r="F29" i="4"/>
  <c r="F28" i="4"/>
  <c r="F27" i="4"/>
  <c r="F26" i="4"/>
  <c r="F25" i="4"/>
  <c r="E13" i="4"/>
  <c r="D13" i="4"/>
  <c r="H13" i="4"/>
  <c r="E15" i="4"/>
  <c r="D15" i="4"/>
  <c r="H15" i="4"/>
  <c r="E16" i="4"/>
  <c r="D16" i="4"/>
  <c r="H16" i="4"/>
  <c r="H18" i="4"/>
  <c r="L19" i="4"/>
  <c r="E19" i="4"/>
  <c r="H19" i="4"/>
  <c r="H20" i="4"/>
  <c r="G20" i="4"/>
  <c r="E20" i="4"/>
  <c r="F20" i="4"/>
  <c r="F19" i="4"/>
  <c r="F18" i="4"/>
  <c r="F16" i="4"/>
  <c r="C13" i="4"/>
  <c r="C15" i="4"/>
  <c r="C16" i="4"/>
  <c r="F15" i="4"/>
  <c r="F13" i="4"/>
  <c r="E4" i="4"/>
  <c r="H4" i="4"/>
  <c r="E5" i="4"/>
  <c r="H5" i="4"/>
  <c r="E6" i="4"/>
  <c r="H6" i="4"/>
  <c r="E7" i="4"/>
  <c r="H7" i="4"/>
  <c r="H8" i="4"/>
  <c r="G8" i="4"/>
  <c r="E8" i="4"/>
  <c r="F8" i="4"/>
  <c r="F7" i="4"/>
  <c r="F6" i="4"/>
  <c r="F5" i="4"/>
  <c r="F4" i="4"/>
  <c r="E23" i="3"/>
  <c r="H23" i="3"/>
  <c r="E24" i="3"/>
  <c r="H24" i="3"/>
  <c r="E25" i="3"/>
  <c r="H25" i="3"/>
  <c r="E26" i="3"/>
  <c r="H26" i="3"/>
  <c r="E27" i="3"/>
  <c r="H27" i="3"/>
  <c r="E28" i="3"/>
  <c r="H28" i="3"/>
  <c r="E29" i="3"/>
  <c r="H29" i="3"/>
  <c r="E30" i="3"/>
  <c r="H30" i="3"/>
  <c r="E31" i="3"/>
  <c r="H31" i="3"/>
  <c r="H32" i="3"/>
  <c r="G32" i="3"/>
  <c r="E32" i="3"/>
  <c r="F32" i="3"/>
  <c r="F31" i="3"/>
  <c r="F30" i="3"/>
  <c r="F29" i="3"/>
  <c r="F28" i="3"/>
  <c r="F27" i="3"/>
  <c r="F26" i="3"/>
  <c r="F25" i="3"/>
  <c r="F24" i="3"/>
  <c r="F23" i="3"/>
  <c r="E11" i="3"/>
  <c r="D11" i="3"/>
  <c r="H11" i="3"/>
  <c r="E13" i="3"/>
  <c r="D13" i="3"/>
  <c r="H13" i="3"/>
  <c r="E14" i="3"/>
  <c r="D14" i="3"/>
  <c r="H14" i="3"/>
  <c r="H16" i="3"/>
  <c r="E17" i="3"/>
  <c r="H17" i="3"/>
  <c r="H18" i="3"/>
  <c r="G18" i="3"/>
  <c r="E18" i="3"/>
  <c r="F18" i="3"/>
  <c r="F17" i="3"/>
  <c r="F16" i="3"/>
  <c r="F14" i="3"/>
  <c r="C11" i="3"/>
  <c r="C13" i="3"/>
  <c r="C14" i="3"/>
  <c r="F13" i="3"/>
  <c r="F11" i="3"/>
  <c r="E4" i="3"/>
  <c r="H4" i="3"/>
  <c r="E5" i="3"/>
  <c r="H5" i="3"/>
  <c r="H6" i="3"/>
  <c r="G6" i="3"/>
  <c r="E6" i="3"/>
  <c r="F6" i="3"/>
  <c r="F5" i="3"/>
  <c r="F4" i="3"/>
  <c r="E26" i="2"/>
  <c r="H26" i="2"/>
  <c r="E27" i="2"/>
  <c r="H27" i="2"/>
  <c r="E28" i="2"/>
  <c r="H28" i="2"/>
  <c r="E29" i="2"/>
  <c r="H29" i="2"/>
  <c r="E30" i="2"/>
  <c r="H30" i="2"/>
  <c r="E31" i="2"/>
  <c r="H31" i="2"/>
  <c r="E32" i="2"/>
  <c r="H32" i="2"/>
  <c r="E33" i="2"/>
  <c r="H33" i="2"/>
  <c r="E34" i="2"/>
  <c r="H34" i="2"/>
  <c r="H35" i="2"/>
  <c r="G35" i="2"/>
  <c r="E35" i="2"/>
  <c r="F35" i="2"/>
  <c r="F34" i="2"/>
  <c r="F33" i="2"/>
  <c r="F32" i="2"/>
  <c r="F31" i="2"/>
  <c r="F30" i="2"/>
  <c r="F29" i="2"/>
  <c r="F28" i="2"/>
  <c r="F27" i="2"/>
  <c r="F26" i="2"/>
  <c r="E14" i="2"/>
  <c r="D14" i="2"/>
  <c r="H14" i="2"/>
  <c r="E16" i="2"/>
  <c r="D16" i="2"/>
  <c r="H16" i="2"/>
  <c r="E17" i="2"/>
  <c r="D17" i="2"/>
  <c r="H17" i="2"/>
  <c r="H19" i="2"/>
  <c r="E20" i="2"/>
  <c r="H20" i="2"/>
  <c r="H21" i="2"/>
  <c r="G21" i="2"/>
  <c r="E21" i="2"/>
  <c r="F21" i="2"/>
  <c r="F20" i="2"/>
  <c r="F19" i="2"/>
  <c r="F17" i="2"/>
  <c r="C14" i="2"/>
  <c r="C16" i="2"/>
  <c r="C17" i="2"/>
  <c r="F16" i="2"/>
  <c r="F14" i="2"/>
  <c r="E4" i="2"/>
  <c r="H4" i="2"/>
  <c r="E5" i="2"/>
  <c r="H5" i="2"/>
  <c r="E6" i="2"/>
  <c r="H6" i="2"/>
  <c r="E7" i="2"/>
  <c r="H7" i="2"/>
  <c r="E8" i="2"/>
  <c r="H8" i="2"/>
  <c r="H9" i="2"/>
  <c r="G9" i="2"/>
  <c r="E9" i="2"/>
  <c r="F9" i="2"/>
  <c r="F8" i="2"/>
  <c r="F7" i="2"/>
  <c r="J6" i="2"/>
  <c r="I6" i="2"/>
  <c r="F6" i="2"/>
  <c r="F5" i="2"/>
  <c r="F4" i="2"/>
  <c r="E15" i="1"/>
  <c r="D15" i="1"/>
  <c r="H15" i="1"/>
  <c r="E17" i="1"/>
  <c r="D17" i="1"/>
  <c r="H17" i="1"/>
  <c r="E18" i="1"/>
  <c r="D18" i="1"/>
  <c r="H18" i="1"/>
  <c r="H20" i="1"/>
  <c r="E21" i="1"/>
  <c r="H21" i="1"/>
  <c r="H22" i="1"/>
  <c r="G22" i="1"/>
  <c r="E22" i="1"/>
  <c r="F22" i="1"/>
  <c r="F21" i="1"/>
  <c r="F20" i="1"/>
  <c r="F18" i="1"/>
  <c r="C15" i="1"/>
  <c r="C17" i="1"/>
  <c r="C18" i="1"/>
  <c r="F17" i="1"/>
  <c r="F15" i="1"/>
  <c r="E4" i="1"/>
  <c r="H4" i="1"/>
  <c r="E5" i="1"/>
  <c r="H5" i="1"/>
  <c r="E6" i="1"/>
  <c r="H6" i="1"/>
  <c r="E7" i="1"/>
  <c r="H7" i="1"/>
  <c r="E8" i="1"/>
  <c r="H8" i="1"/>
  <c r="E9" i="1"/>
  <c r="H9" i="1"/>
  <c r="H10" i="1"/>
  <c r="G10" i="1"/>
  <c r="E10" i="1"/>
  <c r="F10" i="1"/>
  <c r="F9" i="1"/>
  <c r="F8" i="1"/>
  <c r="F7" i="1"/>
  <c r="F6" i="1"/>
  <c r="F5" i="1"/>
  <c r="F4" i="1"/>
  <c r="AM11" i="10"/>
  <c r="AM10" i="10"/>
  <c r="AM9" i="10"/>
  <c r="AM8" i="10"/>
  <c r="AM7" i="10"/>
  <c r="AM6" i="10"/>
  <c r="AM5" i="10"/>
  <c r="AM4" i="10"/>
  <c r="AM12" i="11"/>
  <c r="AM11" i="11"/>
  <c r="AM10" i="11"/>
  <c r="AM9" i="11"/>
  <c r="AM8" i="11"/>
  <c r="AM7" i="11"/>
  <c r="AM6" i="11"/>
  <c r="AM5" i="11"/>
  <c r="AM4" i="11"/>
  <c r="AM12" i="9"/>
  <c r="AM11" i="9"/>
  <c r="AM10" i="9"/>
  <c r="AM9" i="9"/>
  <c r="AM8" i="9"/>
  <c r="AM7" i="9"/>
  <c r="AM6" i="9"/>
  <c r="AM5" i="9"/>
  <c r="AM4" i="9"/>
</calcChain>
</file>

<file path=xl/comments1.xml><?xml version="1.0" encoding="utf-8"?>
<comments xmlns="http://schemas.openxmlformats.org/spreadsheetml/2006/main">
  <authors>
    <author>hp</author>
  </authors>
  <commentList>
    <comment ref="I8" authorId="0" shapeId="0">
      <text>
        <r>
          <rPr>
            <b/>
            <sz val="9"/>
            <rFont val="Arial"/>
            <family val="2"/>
          </rPr>
          <t>Pourcentage de processus accompagné 
par mois</t>
        </r>
      </text>
    </comment>
  </commentList>
</comments>
</file>

<file path=xl/comments2.xml><?xml version="1.0" encoding="utf-8"?>
<comments xmlns="http://schemas.openxmlformats.org/spreadsheetml/2006/main">
  <authors>
    <author>OS</author>
  </authors>
  <commentList>
    <comment ref="C14" authorId="0" shapeId="0">
      <text>
        <r>
          <rPr>
            <b/>
            <sz val="9"/>
            <rFont val="Arial"/>
            <family val="2"/>
          </rPr>
          <t xml:space="preserve">- 3 problèmes par tableau PDCA par routine
</t>
        </r>
        <r>
          <rPr>
            <sz val="9"/>
            <rFont val="Arial"/>
            <family val="2"/>
          </rPr>
          <t>- 12 tableau PDCA PROD
- 20 jours ouvrés
- 3 mois</t>
        </r>
      </text>
    </comment>
    <comment ref="D14" authorId="0" shapeId="0">
      <text>
        <r>
          <rPr>
            <b/>
            <sz val="9"/>
            <rFont val="Arial"/>
            <family val="2"/>
          </rPr>
          <t xml:space="preserve">- 3 problèmes par tableau PDCA par routine
</t>
        </r>
        <r>
          <rPr>
            <sz val="9"/>
            <rFont val="Arial"/>
            <family val="2"/>
          </rPr>
          <t>- 12 tableau PDCA PROD
- 20 jours ouvrés
- 3 mois</t>
        </r>
      </text>
    </comment>
  </commentList>
</comments>
</file>

<file path=xl/sharedStrings.xml><?xml version="1.0" encoding="utf-8"?>
<sst xmlns="http://schemas.openxmlformats.org/spreadsheetml/2006/main" count="1146" uniqueCount="211">
  <si>
    <t>EVOLUTION DE L'ATTEINTE DES OBJECTIFS DE JOUVE MADA : MARS 2018</t>
  </si>
  <si>
    <t xml:space="preserve">Objectif </t>
  </si>
  <si>
    <t>Mars 2018</t>
  </si>
  <si>
    <t>Production</t>
  </si>
  <si>
    <t>Méthodes et Qualité</t>
  </si>
  <si>
    <t>Etudes</t>
  </si>
  <si>
    <t>Développement</t>
  </si>
  <si>
    <t>DSI</t>
  </si>
  <si>
    <t>ADMIN</t>
  </si>
  <si>
    <t>RH</t>
  </si>
  <si>
    <t>SG</t>
  </si>
  <si>
    <t>Jouve Madagascar</t>
  </si>
  <si>
    <t>OBJECTIF</t>
  </si>
  <si>
    <t>1er trimestre</t>
  </si>
  <si>
    <t>2e trimestre</t>
  </si>
  <si>
    <t>3e trimestre</t>
  </si>
  <si>
    <t>4e trimestre</t>
  </si>
  <si>
    <t>SUIVI ACTIVITE : MARS 2018</t>
  </si>
  <si>
    <t>APPLICATION DU LEAN : MARS 2018</t>
  </si>
  <si>
    <t>AVANCEMENT ATTEINT DES OBJECTIFS</t>
  </si>
  <si>
    <t>N°</t>
  </si>
  <si>
    <t>DESCRIPTION</t>
  </si>
  <si>
    <t>OBJECTIF ANNUEL</t>
  </si>
  <si>
    <t>OBJECTIF M1 à M4</t>
  </si>
  <si>
    <t>ATTEINTE M1 à M4</t>
  </si>
  <si>
    <t>SITUATION</t>
  </si>
  <si>
    <t>NOTE MAX</t>
  </si>
  <si>
    <t>NOTE 1er Trim</t>
  </si>
  <si>
    <t>JANVIER</t>
  </si>
  <si>
    <t>FEVRIER</t>
  </si>
  <si>
    <t>MARS</t>
  </si>
  <si>
    <t>AVRIL</t>
  </si>
  <si>
    <t>COMMENTAIRE</t>
  </si>
  <si>
    <t>ACTIONS</t>
  </si>
  <si>
    <t>PILOTE</t>
  </si>
  <si>
    <t>DELAI</t>
  </si>
  <si>
    <t>AVANCEMENT</t>
  </si>
  <si>
    <t>01</t>
  </si>
  <si>
    <t>90% des actions/chantiers réalisés sont efficaces</t>
  </si>
  <si>
    <t>02</t>
  </si>
  <si>
    <t>Mise en place de tous les indicateurs par processus pour mesurer l’atteinte des objectifs</t>
  </si>
  <si>
    <t>-</t>
  </si>
  <si>
    <t>Test de validation du Dashboard M&amp;Q</t>
  </si>
  <si>
    <t>Développement encours de finalisation</t>
  </si>
  <si>
    <t>Aina</t>
  </si>
  <si>
    <t>D</t>
  </si>
  <si>
    <t>03</t>
  </si>
  <si>
    <t>100% des employés sont formés et appliquent la démarche Amélioration continue et Qualité</t>
  </si>
  <si>
    <t>Pas de formation pour le mois d'Avril</t>
  </si>
  <si>
    <t>Etablissement du planning de formation 2018</t>
  </si>
  <si>
    <t>04</t>
  </si>
  <si>
    <t>Assurer la maîtrise du process documentation de Jouve Madagascar</t>
  </si>
  <si>
    <t>Accompagnement de l'équipe Prod (Compo) pour l'amélioration de la gestion de leurs documents prod dans Pydio
Toutes les documentations planifiées à créer et à mettre à jour sont terminées</t>
  </si>
  <si>
    <t>Cf. Rapport d'activité ci-dessous</t>
  </si>
  <si>
    <t>A</t>
  </si>
  <si>
    <t>05</t>
  </si>
  <si>
    <t>Accompagnement de tous les services pour que leurs projets atteignent les objectifs.</t>
  </si>
  <si>
    <t>Réalisation à 100% de la Routine par processus
Réalisation des diverses réunions de travail sur certains processus</t>
  </si>
  <si>
    <t>06</t>
  </si>
  <si>
    <t>Passage à la version ISO version 2015</t>
  </si>
  <si>
    <t>Avis favorable de l'AFNOR pour l'obtention de la certification ISO9001 V2015</t>
  </si>
  <si>
    <t>Communication sur l'intranet
Affichage du certificat à l'entrée</t>
  </si>
  <si>
    <t>TAUX  :</t>
  </si>
  <si>
    <t>SUIVI ACTIVITES</t>
  </si>
  <si>
    <t>NOTE M1 à M4</t>
  </si>
  <si>
    <t>Nombre problèmes ou actions remontés</t>
  </si>
  <si>
    <t>Nombre des actions prévues à réaliser</t>
  </si>
  <si>
    <t>Nombre des actions réalisées</t>
  </si>
  <si>
    <t>Nombre des actions efficaces</t>
  </si>
  <si>
    <t>Nombre des actions en retard</t>
  </si>
  <si>
    <t>Taux retard de réalisation</t>
  </si>
  <si>
    <t>07</t>
  </si>
  <si>
    <t>Taux satisfaction</t>
  </si>
  <si>
    <t>TAUX :</t>
  </si>
  <si>
    <t>RAPPORT D'ACTIVITE</t>
  </si>
  <si>
    <t>l</t>
  </si>
  <si>
    <t>Semaine</t>
  </si>
  <si>
    <t>Avancement</t>
  </si>
  <si>
    <t>COMMENTAIRES</t>
  </si>
  <si>
    <t>S14</t>
  </si>
  <si>
    <t>Revue des Processus (Bilan Mars)</t>
  </si>
  <si>
    <t>Formation Lime Survey (RH et Référent M&amp;Q ABE)</t>
  </si>
  <si>
    <t>Création du formulaire "Evaluation à chaud" après formation</t>
  </si>
  <si>
    <t>S15</t>
  </si>
  <si>
    <t>Bilan qualité mars 2018 + Suivi des actions</t>
  </si>
  <si>
    <t>Réunion sur la mise en place du serveur LDAP</t>
  </si>
  <si>
    <t>Projet abandonné. Le DSI se focalisera à la création de la compte AD</t>
  </si>
  <si>
    <t>Réunion de travail sur la centralisation du système GED du Groupe JOUVE avec Christophe L.)</t>
  </si>
  <si>
    <t>Présentation du système documentation ainsi que le système Qualité de JM effectuée. (Etudes de faisabilité encours, piloté par l'équipe France)</t>
  </si>
  <si>
    <t>S16</t>
  </si>
  <si>
    <t>Réunion sur la gestion des formations internes</t>
  </si>
  <si>
    <t>Identification de la méthode pour la centralisation des données de formation
Création du process de la gestion des formations au niveau RH</t>
  </si>
  <si>
    <t>Préparation présentation GPAO</t>
  </si>
  <si>
    <t>Mise à jour du RoadMap M&amp;Q 2018 suite à l'EAI</t>
  </si>
  <si>
    <t>Etablissement du plan d'actions ainsi que la gestion des priorités</t>
  </si>
  <si>
    <t>Réunion de travail : Mise en place indicateur Retard de livraison</t>
  </si>
  <si>
    <t>S17</t>
  </si>
  <si>
    <t>Chantier : Qualité Projet PSA Antsirabe suite à des retours clients</t>
  </si>
  <si>
    <t>Première étape : identification de la problématique</t>
  </si>
  <si>
    <t>Chantier : Mise en place SMQ sur COMPO</t>
  </si>
  <si>
    <t>Documentation : Mise à jour standard Tableau de Marche EIFFAGE</t>
  </si>
  <si>
    <t>Préparation Revue des Processus Avril</t>
  </si>
  <si>
    <t>OBJECTIF 1er Trim</t>
  </si>
  <si>
    <t>ATTEINT 1er Trim</t>
  </si>
  <si>
    <t>Maintien du Net Promoter Score (NPS) = 40 (Client direct)</t>
  </si>
  <si>
    <t>8% de gains minimum par rapport à l'année précédente</t>
  </si>
  <si>
    <t>97% des projets respectent le taux qualité en interne</t>
  </si>
  <si>
    <t>97% des projets respectent le délai de livraison</t>
  </si>
  <si>
    <t>100% des projets respectent la démarche LEAN et QUALITE</t>
  </si>
  <si>
    <t>APPLICATION DU LEAN</t>
  </si>
  <si>
    <t>ROUTINE</t>
  </si>
  <si>
    <t>TOP5</t>
  </si>
  <si>
    <t>QCM</t>
  </si>
  <si>
    <t>CHANTIER</t>
  </si>
  <si>
    <t>REUNION DE TRAVAIL LEAN/QUALITE</t>
  </si>
  <si>
    <t>AUDIT</t>
  </si>
  <si>
    <t>DOCUMENTATION</t>
  </si>
  <si>
    <t>08</t>
  </si>
  <si>
    <t>INDICATEURS</t>
  </si>
  <si>
    <t>09</t>
  </si>
  <si>
    <t>FORMATION LEAN/QUALITE</t>
  </si>
  <si>
    <t>98% des éléments de réponse envoyés aux commerciaux sont complets.</t>
  </si>
  <si>
    <t>Sur les 4 dossiers passés en étude sur le mois d'avril, un dossier était passé en production et a atteint l'objectif proposé d'où le taux de 100%, 1 dossier est en cours de test et 2 dossiers sont en attente de validation clients.</t>
  </si>
  <si>
    <t>98% des projets gagnés atteignent les performances proposées par le Service Etudes.</t>
  </si>
  <si>
    <t>80% des demandes de développement respectent le délai de livraison</t>
  </si>
  <si>
    <t>Outils de suivi en cours de préparation</t>
  </si>
  <si>
    <t>97% des applications respectent la qualité</t>
  </si>
  <si>
    <t>Satisfaction client interne à 97%</t>
  </si>
  <si>
    <t>S'impliquer à 100% dans la démarche LEAN</t>
  </si>
  <si>
    <t>Compte rendu à jour dans Teams</t>
  </si>
  <si>
    <t>DashBoard et Outils développement en cours</t>
  </si>
  <si>
    <t>Mis à jour des procédure en cours</t>
  </si>
  <si>
    <t>Assurer le déploiement, le suivi et la maintenance du parc informatique (80% des tickets résolus dans les délais et au bon niveau de qualité)</t>
  </si>
  <si>
    <t>S'assurer à 95% du bon fonctionnement des matériels du fournisseur d’accès internet (FAI) sur les 2 sites</t>
  </si>
  <si>
    <t>S'assurer à 98% de la respect des Service-level agreement (SLA) des fournissuers d'accès internet (FAI)</t>
  </si>
  <si>
    <t>Assurer à 98% la sécurité des données</t>
  </si>
  <si>
    <t>Assurer à 90% le respect des exigences clients (production + autres services)</t>
  </si>
  <si>
    <t>ATTEINT ANNUEL</t>
  </si>
  <si>
    <t>NOTE ANNUEL</t>
  </si>
  <si>
    <t>ATTEINT M1 à M4</t>
  </si>
  <si>
    <t>90% du suivi des carrières exploité</t>
  </si>
  <si>
    <t>Plusieurs réclammation Abe non pris en compte à Tana (envoi par skype)</t>
  </si>
  <si>
    <t>Traitement à faire dans FP mai</t>
  </si>
  <si>
    <t>Mamy</t>
  </si>
  <si>
    <t>100% d'application de la démarche amélioration continue</t>
  </si>
  <si>
    <t>95% des besoins de recrutements satisfaits</t>
  </si>
  <si>
    <t>Pas de recrutement développeur réalisé : trop peu de CV reçus, 7 au total</t>
  </si>
  <si>
    <t>Relance de l'annonce</t>
  </si>
  <si>
    <t>En attente d'autres CV</t>
  </si>
  <si>
    <t>95% des formations sont validées et réalisées sur l’année</t>
  </si>
  <si>
    <t>Process en attente de validation direction
Rédaction CDC en cours</t>
  </si>
  <si>
    <t>90% des salariés sont satisfaits du service des Ressources Humaines</t>
  </si>
  <si>
    <t xml:space="preserve">Non respect de délai de distribution fiche de paie  avril </t>
  </si>
  <si>
    <t>Envoi mail au pôle Dev</t>
  </si>
  <si>
    <t>Dépasser le seuil de 90% du taux de satisfaction clients (délais/qualité)</t>
  </si>
  <si>
    <t>Disposer d’au moins 4 fournisseurs validés (délais/qualité/coût) pour le matériel informatique</t>
  </si>
  <si>
    <t>Disposer d’au moins 2 fournisseurs validés (délais/qualité/coût) pour le matériel bureautique et outillage</t>
  </si>
  <si>
    <t>Traduire 90% de la liste des livraisons (Production) en facture à chaque clôture de vente mensuelle</t>
  </si>
  <si>
    <t>S'assurer que tous les éléments demandés du Tableau de Bord (TB) et des Etats Financiers (EF)  soient fiables et disponibles à la date de clôture</t>
  </si>
  <si>
    <t>S'assurer que les rapports de facturation (JMCA, encours) soient remis dans un délai d’une demi journée après la clôture mensuelle</t>
  </si>
  <si>
    <t>Mettre à disposition de la Direction le rapport « JM compare budget » dans un délai ne dépassant pas 7 jours ouvrés de la clôture de compte mensuel</t>
  </si>
  <si>
    <t>Assurer un environnement de travail sain et sécurisé</t>
  </si>
  <si>
    <t>L</t>
  </si>
  <si>
    <t>Verification annuel des extincteurs effectuée</t>
  </si>
  <si>
    <t>Assurer un environnement de travail clément (température, bruit, éclairage,…) (satisfaction client interne à 97%)</t>
  </si>
  <si>
    <t>m</t>
  </si>
  <si>
    <t>Préparation questionnaire enquete satisfaction client (reponses au prochain revue process)</t>
  </si>
  <si>
    <t>Assurer le bon fonctionnement des véhicules (98% de bon fonctionnement des véhicules)</t>
  </si>
  <si>
    <t>J</t>
  </si>
  <si>
    <t>Ertiga à envoyer en entretien</t>
  </si>
  <si>
    <t>Assurer le bon fonctionnement du groupe électrogène (99% démarrage de groupe en cas de coupure d'éléctricité)</t>
  </si>
  <si>
    <t>bon demarrage du groupe lors du coupure du courant</t>
  </si>
  <si>
    <t>Déclencher, coordonner et suivre les interventions techniques des entreprises extérieures (0 incident lors des interventions des préstataires)</t>
  </si>
  <si>
    <t>Entretien periodique du groupe electrogène RAS</t>
  </si>
  <si>
    <t>Gérer la signalétique intérieure et extérieure (100% des zones avec signalétiques)</t>
  </si>
  <si>
    <t>Création et validation du Standard ainsi que le  Process Revue des processus
1ere réunion (20/04/2018) : Validation du standard de pilotage de la Revue ainsi que la présentation du déroulement et du support de présentation</t>
  </si>
  <si>
    <t xml:space="preserve">Première réunion (20/04/2018) : Identification de la méthode à mettre en place
Rédaction du cahier des charges pour le développement </t>
  </si>
  <si>
    <t>Première réunion (26/04/2018) : Etablissement du plan d'actions
Accompagnement de l'équipe Prod à la réalisation des actions</t>
  </si>
  <si>
    <t>Taux de réalisation des actions : 26/31 actions soit 83,87%.
3 actions en attente résolution au niveau du développement et 2 actions planifiés dont 1 pour la semaine 20 et 1 avant fin mai.</t>
  </si>
  <si>
    <t>Mise en place outil pour gérer les formations internes</t>
  </si>
  <si>
    <t>Présence 4/4 durant le mois d'avril</t>
  </si>
  <si>
    <t>Présence 4/4 durant le moi d'avril</t>
  </si>
  <si>
    <t>Formation EAI</t>
  </si>
  <si>
    <t>Présentation GPAO</t>
  </si>
  <si>
    <t>1ère réunion (27/04/2018) : Présentation globale de l'outil GPAO avec l'équipe Mada : La Direction, PROD, DEV, RH  M&amp;Q et l'équipe France : Benoît Gorez, Jacques Saint Aubin, Pierre Wante et Agnès Proyart
2e réunion (02/05/2018) : Présentation du Listing des fonctionnalités, interactions, etc.</t>
  </si>
  <si>
    <t xml:space="preserve">Présentation GPAO : partie fonctionnalité
27/04/2018 : 1ère réunion : présentation des fonctionnalités et interaction avec d'autres outils
02/05/2018 : 2ème réunion : les fonctionnalités indispensables du GPAO.
</t>
  </si>
  <si>
    <t>Présentation GPAO
27/04/2018 : 1ère réunion : présentation des fonctionnalités et interaction avec d'autres outils
02/05/2018 : 2ème réunion : les fonctionnalités indispensables du GPAO.</t>
  </si>
  <si>
    <t>Indicateur pour le Retard de livraison</t>
  </si>
  <si>
    <t>Mise en place indicateur de retard de livraison
1ère réunion : le 20/04/2018 : expression du besoin</t>
  </si>
  <si>
    <t>Présence 4/4 pour le mois d'avril</t>
  </si>
  <si>
    <t>Présence 2/4 pour le mois d'avril</t>
  </si>
  <si>
    <t>Présence 3/4 pour le mois d'avril</t>
  </si>
  <si>
    <t>4 lignes sur 6 ont fini le QCM trimestriel.</t>
  </si>
  <si>
    <t>Réaliser les QCM 070/075</t>
  </si>
  <si>
    <t>Déjà planifié</t>
  </si>
  <si>
    <t>Amélioration constatée suite aux évolutions des performances des opérateurs, principalement avec les projets démarrés récemment. Nous pouvons souligné la conversion Word Labrador, PSA, et Eiffage. Le gain est aussi obtenu après la résolution de problème technique comme sur Gefco.</t>
  </si>
  <si>
    <t>Il y a moins de projet dépassant le seuil qualité suite aux amélioration enregistrée sur les projets SANOFI, BOB, OEB WORK A, DALLOZ BROCHE et GDR</t>
  </si>
  <si>
    <t>En cours de rédaction de l'expression des besoins</t>
  </si>
  <si>
    <t>Rédaction des besoins</t>
  </si>
  <si>
    <t>Andry</t>
  </si>
  <si>
    <t>Une augmentation du nombre d'actions et de problèmes remontés</t>
  </si>
  <si>
    <t>attente des données des FAI</t>
  </si>
  <si>
    <t>Efficacité : nombre de tech equivalent aux nombre de postes actuellement</t>
  </si>
  <si>
    <t>Plannification des formations 2018 et distribution des nouveaux taches pour chaques techs</t>
  </si>
  <si>
    <t>Procédure d'arret et redémarrage de la chaine pour Antsirabe, Check-list pour une verification hebdomadaite de l'onduleur</t>
  </si>
  <si>
    <t>Validation</t>
  </si>
  <si>
    <t>Naly</t>
  </si>
  <si>
    <t>Les mails de notifications sont centralisés au responsable. S'il est absent, les autres ne sont pas au courant de certaines demandes.</t>
  </si>
  <si>
    <t>Integration de tous les DEVs dans la liste des personnes à assigner.</t>
  </si>
  <si>
    <t>Nos actions sont centralisées dans JIRA/Bitbucket et prochainnement dans l'outils de suivi des developpements.</t>
  </si>
  <si>
    <t>Outils développement en cours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</si>
</sst>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_ "/>
    <numFmt numFmtId="165" formatCode="0.0%"/>
    <numFmt numFmtId="166" formatCode="0_ "/>
  </numFmts>
  <fonts count="25">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b/>
      <sz val="11"/>
      <color rgb="FFFF0000"/>
      <name val="Calibri"/>
      <family val="2"/>
      <scheme val="minor"/>
    </font>
    <font>
      <sz val="11"/>
      <color rgb="FFFF0000"/>
      <name val="Calibri"/>
      <family val="2"/>
      <scheme val="minor"/>
    </font>
    <font>
      <b/>
      <sz val="11"/>
      <color theme="1"/>
      <name val="Calibri"/>
      <family val="2"/>
    </font>
    <font>
      <sz val="10"/>
      <name val="Arial"/>
      <family val="2"/>
    </font>
    <font>
      <b/>
      <sz val="18"/>
      <color theme="1"/>
      <name val="Wingdings"/>
      <charset val="2"/>
    </font>
    <font>
      <sz val="11"/>
      <color theme="1"/>
      <name val="Wingdings"/>
      <charset val="2"/>
    </font>
    <font>
      <sz val="10"/>
      <name val="Arial"/>
      <family val="2"/>
    </font>
    <font>
      <sz val="11"/>
      <color indexed="8"/>
      <name val="Calibri"/>
      <family val="2"/>
    </font>
    <font>
      <sz val="11"/>
      <color rgb="FF000000"/>
      <name val="Calibri"/>
      <family val="2"/>
      <scheme val="minor"/>
    </font>
    <font>
      <sz val="10"/>
      <color rgb="FF000000"/>
      <name val="Arial"/>
      <family val="2"/>
    </font>
    <font>
      <sz val="11"/>
      <color theme="1"/>
      <name val="Calibri"/>
      <family val="2"/>
      <scheme val="minor"/>
    </font>
    <font>
      <sz val="11"/>
      <name val="Calibri"/>
      <family val="2"/>
      <scheme val="minor"/>
    </font>
    <font>
      <b/>
      <sz val="10"/>
      <name val="Arial"/>
      <family val="2"/>
    </font>
    <font>
      <b/>
      <sz val="16"/>
      <color rgb="FFFF0000"/>
      <name val="Arial"/>
      <family val="2"/>
    </font>
    <font>
      <b/>
      <sz val="22"/>
      <color rgb="FFFF0000"/>
      <name val="Arial"/>
      <family val="2"/>
    </font>
    <font>
      <b/>
      <sz val="28"/>
      <name val="Arial"/>
      <family val="2"/>
    </font>
    <font>
      <b/>
      <sz val="20"/>
      <color rgb="FFFF0000"/>
      <name val="Arial"/>
      <family val="2"/>
    </font>
    <font>
      <b/>
      <sz val="16"/>
      <name val="Arial"/>
      <family val="2"/>
    </font>
    <font>
      <b/>
      <sz val="9"/>
      <name val="Arial"/>
      <family val="2"/>
    </font>
    <font>
      <sz val="9"/>
      <name val="Arial"/>
      <family val="2"/>
    </font>
  </fonts>
  <fills count="6">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14993743705557422"/>
        <bgColor indexed="64"/>
      </patternFill>
    </fill>
  </fills>
  <borders count="3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top style="thin">
        <color auto="1"/>
      </top>
      <bottom style="thin">
        <color auto="1"/>
      </bottom>
      <diagonal/>
    </border>
    <border>
      <left/>
      <right/>
      <top/>
      <bottom style="thick">
        <color rgb="FFFF0000"/>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right style="medium">
        <color auto="1"/>
      </right>
      <top/>
      <bottom style="medium">
        <color auto="1"/>
      </bottom>
      <diagonal/>
    </border>
    <border>
      <left style="medium">
        <color auto="1"/>
      </left>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9" fontId="15" fillId="0" borderId="0" applyFont="0" applyFill="0" applyBorder="0" applyAlignment="0" applyProtection="0">
      <alignment vertical="center"/>
    </xf>
  </cellStyleXfs>
  <cellXfs count="160">
    <xf numFmtId="0" fontId="0" fillId="0" borderId="0" xfId="0">
      <alignment vertical="center"/>
    </xf>
    <xf numFmtId="0" fontId="3" fillId="0" borderId="0" xfId="0" applyFont="1" applyAlignment="1">
      <alignment horizontal="center" vertical="center" wrapText="1"/>
    </xf>
    <xf numFmtId="49" fontId="3" fillId="0" borderId="0" xfId="0" applyNumberFormat="1" applyFont="1" applyAlignment="1">
      <alignment horizontal="center" vertical="center"/>
    </xf>
    <xf numFmtId="0" fontId="4" fillId="0" borderId="0" xfId="0" applyFont="1">
      <alignment vertical="center"/>
    </xf>
    <xf numFmtId="49" fontId="5" fillId="0" borderId="0" xfId="0" applyNumberFormat="1" applyFont="1" applyAlignment="1">
      <alignment horizontal="centerContinuous" vertical="center"/>
    </xf>
    <xf numFmtId="0" fontId="6" fillId="0" borderId="0" xfId="0" applyFont="1" applyAlignment="1">
      <alignment horizontal="centerContinuous" vertical="center"/>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49" fontId="3" fillId="0" borderId="1" xfId="0" applyNumberFormat="1" applyFont="1" applyBorder="1" applyAlignment="1">
      <alignment horizontal="center" vertical="center"/>
    </xf>
    <xf numFmtId="0" fontId="8" fillId="0" borderId="1" xfId="0" applyFont="1" applyFill="1" applyBorder="1" applyAlignment="1">
      <alignment vertical="center"/>
    </xf>
    <xf numFmtId="0" fontId="8" fillId="0" borderId="1" xfId="0" applyFont="1" applyFill="1" applyBorder="1" applyAlignment="1">
      <alignment horizontal="center" vertical="center"/>
    </xf>
    <xf numFmtId="9" fontId="0" fillId="0" borderId="1" xfId="1" applyFont="1" applyBorder="1" applyAlignment="1">
      <alignment horizontal="center" vertical="center"/>
    </xf>
    <xf numFmtId="0" fontId="9" fillId="0" borderId="1" xfId="0" applyFont="1" applyBorder="1" applyAlignment="1">
      <alignment horizontal="center" vertical="center"/>
    </xf>
    <xf numFmtId="164" fontId="4" fillId="0" borderId="1" xfId="0" applyNumberFormat="1" applyFont="1" applyBorder="1" applyAlignment="1">
      <alignment horizontal="center" vertical="center"/>
    </xf>
    <xf numFmtId="9" fontId="8" fillId="0" borderId="1" xfId="0" applyNumberFormat="1" applyFont="1" applyFill="1" applyBorder="1" applyAlignment="1">
      <alignment horizontal="center" vertical="center"/>
    </xf>
    <xf numFmtId="0" fontId="0" fillId="0" borderId="1" xfId="0" applyBorder="1" applyAlignment="1">
      <alignment horizontal="center" vertical="center"/>
    </xf>
    <xf numFmtId="0" fontId="5" fillId="0" borderId="0" xfId="0" applyFont="1" applyAlignment="1">
      <alignment horizontal="right" vertical="center"/>
    </xf>
    <xf numFmtId="9" fontId="0" fillId="0" borderId="1" xfId="0" applyNumberFormat="1" applyBorder="1" applyAlignment="1">
      <alignment horizontal="center" vertical="center"/>
    </xf>
    <xf numFmtId="10" fontId="0" fillId="0" borderId="1" xfId="1" applyNumberFormat="1" applyFont="1" applyBorder="1" applyAlignment="1">
      <alignment horizontal="center" vertical="center"/>
    </xf>
    <xf numFmtId="0" fontId="10" fillId="0" borderId="0" xfId="0" applyFont="1">
      <alignment vertical="center"/>
    </xf>
    <xf numFmtId="1" fontId="8" fillId="0" borderId="1"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11" fillId="0" borderId="1" xfId="0" applyFont="1" applyFill="1" applyBorder="1" applyAlignment="1">
      <alignment vertical="center"/>
    </xf>
    <xf numFmtId="1" fontId="0" fillId="0" borderId="1" xfId="0" applyNumberFormat="1" applyBorder="1" applyAlignment="1">
      <alignment horizontal="center" vertical="center"/>
    </xf>
    <xf numFmtId="0" fontId="8" fillId="0" borderId="1" xfId="0" applyFont="1" applyFill="1" applyBorder="1" applyAlignment="1">
      <alignment horizontal="right" vertical="center"/>
    </xf>
    <xf numFmtId="0" fontId="8" fillId="0" borderId="1" xfId="0" applyFont="1" applyFill="1" applyBorder="1" applyAlignment="1">
      <alignment horizontal="left" vertical="center"/>
    </xf>
    <xf numFmtId="9" fontId="8" fillId="0" borderId="1" xfId="1" applyFont="1" applyFill="1" applyBorder="1" applyAlignment="1">
      <alignment horizontal="center" vertical="center"/>
    </xf>
    <xf numFmtId="0" fontId="0" fillId="0" borderId="1" xfId="0" applyBorder="1">
      <alignment vertical="center"/>
    </xf>
    <xf numFmtId="0" fontId="0" fillId="0"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12" fillId="0" borderId="1" xfId="0" applyFont="1" applyFill="1" applyBorder="1" applyAlignment="1">
      <alignment horizontal="center" vertical="center" wrapText="1"/>
    </xf>
    <xf numFmtId="9" fontId="0" fillId="0" borderId="1" xfId="0" applyNumberFormat="1" applyFont="1" applyFill="1" applyBorder="1" applyAlignment="1">
      <alignment horizontal="center" vertical="center" wrapText="1"/>
    </xf>
    <xf numFmtId="1" fontId="8" fillId="0" borderId="1" xfId="1" applyNumberFormat="1" applyFont="1" applyFill="1" applyBorder="1" applyAlignment="1">
      <alignment horizontal="center" vertical="center"/>
    </xf>
    <xf numFmtId="0" fontId="0" fillId="0" borderId="1" xfId="0" applyFont="1" applyBorder="1">
      <alignment vertical="center"/>
    </xf>
    <xf numFmtId="0" fontId="0" fillId="0" borderId="1" xfId="0" applyFont="1" applyBorder="1" applyAlignment="1">
      <alignment horizontal="center" vertical="center"/>
    </xf>
    <xf numFmtId="0" fontId="8" fillId="0" borderId="2" xfId="0" applyFont="1" applyFill="1" applyBorder="1" applyAlignment="1">
      <alignment vertical="center"/>
    </xf>
    <xf numFmtId="9" fontId="8" fillId="0" borderId="2" xfId="0" applyNumberFormat="1" applyFont="1" applyFill="1" applyBorder="1" applyAlignment="1">
      <alignment horizontal="center" vertical="center"/>
    </xf>
    <xf numFmtId="1" fontId="0" fillId="0" borderId="1" xfId="1" applyNumberFormat="1" applyFont="1" applyBorder="1" applyAlignment="1">
      <alignment horizontal="center" vertical="center"/>
    </xf>
    <xf numFmtId="0" fontId="0" fillId="0" borderId="0" xfId="0" applyAlignment="1">
      <alignment horizontal="center" vertical="center"/>
    </xf>
    <xf numFmtId="1" fontId="8" fillId="2" borderId="1" xfId="0" applyNumberFormat="1" applyFont="1" applyFill="1" applyBorder="1" applyAlignment="1">
      <alignment horizontal="center" vertical="center"/>
    </xf>
    <xf numFmtId="9" fontId="0" fillId="0" borderId="1" xfId="0" applyNumberFormat="1" applyFont="1" applyBorder="1" applyAlignment="1">
      <alignment horizontal="center" vertical="center"/>
    </xf>
    <xf numFmtId="9" fontId="13" fillId="0" borderId="1" xfId="0" applyNumberFormat="1" applyFont="1" applyFill="1" applyBorder="1" applyAlignment="1">
      <alignment horizontal="center" vertical="center" wrapText="1"/>
    </xf>
    <xf numFmtId="0" fontId="0" fillId="0" borderId="1" xfId="0" applyFont="1" applyFill="1" applyBorder="1" applyAlignment="1">
      <alignment horizontal="left" vertical="center" wrapText="1"/>
    </xf>
    <xf numFmtId="16" fontId="0" fillId="0" borderId="1" xfId="0" applyNumberFormat="1" applyBorder="1">
      <alignment vertical="center"/>
    </xf>
    <xf numFmtId="0" fontId="14" fillId="0" borderId="1" xfId="0" applyFont="1" applyFill="1" applyBorder="1" applyAlignment="1">
      <alignment horizontal="center" vertical="center" wrapText="1"/>
    </xf>
    <xf numFmtId="9" fontId="14" fillId="0" borderId="1" xfId="0" applyNumberFormat="1" applyFont="1" applyFill="1" applyBorder="1" applyAlignment="1">
      <alignment horizontal="center" vertical="center" wrapText="1"/>
    </xf>
    <xf numFmtId="0" fontId="0" fillId="0" borderId="1" xfId="0" applyFill="1" applyBorder="1" applyAlignment="1"/>
    <xf numFmtId="10" fontId="8" fillId="0" borderId="1" xfId="0" applyNumberFormat="1" applyFont="1" applyFill="1" applyBorder="1" applyAlignment="1">
      <alignment horizontal="center" vertical="center"/>
    </xf>
    <xf numFmtId="10" fontId="0" fillId="0" borderId="1" xfId="1" applyNumberFormat="1" applyFont="1" applyFill="1" applyBorder="1" applyAlignment="1">
      <alignment horizontal="center" vertical="center" wrapText="1"/>
    </xf>
    <xf numFmtId="165" fontId="0" fillId="0" borderId="1" xfId="1" applyNumberFormat="1" applyFont="1" applyBorder="1" applyAlignment="1">
      <alignment horizontal="center" vertical="center"/>
    </xf>
    <xf numFmtId="9" fontId="8" fillId="0" borderId="1" xfId="1" applyNumberFormat="1" applyFont="1" applyFill="1" applyBorder="1" applyAlignment="1">
      <alignment horizontal="center" vertical="center"/>
    </xf>
    <xf numFmtId="10" fontId="8" fillId="0" borderId="1" xfId="1" applyNumberFormat="1" applyFont="1" applyFill="1" applyBorder="1" applyAlignment="1">
      <alignment horizontal="center" vertical="center"/>
    </xf>
    <xf numFmtId="9" fontId="8" fillId="0" borderId="1" xfId="0" applyNumberFormat="1" applyFont="1" applyFill="1" applyBorder="1" applyAlignment="1">
      <alignment vertical="center"/>
    </xf>
    <xf numFmtId="0" fontId="14" fillId="0" borderId="3" xfId="0" applyFont="1" applyFill="1" applyBorder="1" applyAlignment="1">
      <alignment horizontal="center" vertical="center" wrapText="1"/>
    </xf>
    <xf numFmtId="9" fontId="14" fillId="0" borderId="4"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xf>
    <xf numFmtId="0" fontId="8" fillId="3" borderId="1" xfId="0" applyFont="1" applyFill="1" applyBorder="1" applyAlignment="1">
      <alignment vertical="center"/>
    </xf>
    <xf numFmtId="0" fontId="8" fillId="3" borderId="1" xfId="0" applyFont="1" applyFill="1" applyBorder="1" applyAlignment="1">
      <alignment horizontal="center" vertical="center"/>
    </xf>
    <xf numFmtId="1" fontId="0" fillId="3" borderId="1" xfId="1" applyNumberFormat="1" applyFont="1" applyFill="1" applyBorder="1" applyAlignment="1">
      <alignment horizontal="center" vertical="center"/>
    </xf>
    <xf numFmtId="0" fontId="9" fillId="3" borderId="1" xfId="0" applyFont="1" applyFill="1" applyBorder="1" applyAlignment="1">
      <alignment horizontal="center" vertical="center"/>
    </xf>
    <xf numFmtId="0" fontId="8" fillId="3" borderId="2" xfId="0" applyFont="1" applyFill="1" applyBorder="1" applyAlignment="1">
      <alignment horizontal="center" vertical="center"/>
    </xf>
    <xf numFmtId="164" fontId="4" fillId="3"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4" fillId="3" borderId="5" xfId="0" applyFont="1" applyFill="1" applyBorder="1" applyAlignment="1">
      <alignment horizontal="center" vertical="center" wrapText="1"/>
    </xf>
    <xf numFmtId="0" fontId="14" fillId="3" borderId="1" xfId="0" applyFont="1" applyFill="1" applyBorder="1" applyAlignment="1">
      <alignment horizontal="center" vertical="center" wrapText="1"/>
    </xf>
    <xf numFmtId="2" fontId="13" fillId="0" borderId="6" xfId="1" applyNumberFormat="1" applyFont="1" applyFill="1" applyBorder="1" applyAlignment="1">
      <alignment horizontal="center" vertical="center" wrapText="1"/>
    </xf>
    <xf numFmtId="10" fontId="13" fillId="0" borderId="1" xfId="1" applyNumberFormat="1" applyFont="1" applyFill="1" applyBorder="1" applyAlignment="1">
      <alignment horizontal="center" vertical="center" wrapText="1"/>
    </xf>
    <xf numFmtId="0" fontId="0" fillId="0" borderId="1" xfId="0" applyFont="1" applyBorder="1" applyAlignment="1">
      <alignment vertical="center" wrapText="1"/>
    </xf>
    <xf numFmtId="9" fontId="0" fillId="0" borderId="1" xfId="1" applyFont="1" applyFill="1" applyBorder="1" applyAlignment="1">
      <alignment horizontal="center" vertical="center" wrapText="1"/>
    </xf>
    <xf numFmtId="10" fontId="13" fillId="0" borderId="7" xfId="0" applyNumberFormat="1" applyFont="1" applyFill="1" applyBorder="1" applyAlignment="1">
      <alignment horizontal="center" vertical="center" wrapText="1"/>
    </xf>
    <xf numFmtId="10" fontId="13" fillId="0" borderId="1" xfId="0" applyNumberFormat="1" applyFont="1" applyFill="1" applyBorder="1" applyAlignment="1">
      <alignment horizontal="center" vertical="center" wrapText="1"/>
    </xf>
    <xf numFmtId="0" fontId="14" fillId="0" borderId="4" xfId="0" applyFont="1" applyFill="1" applyBorder="1" applyAlignment="1">
      <alignment horizontal="center" vertical="center" wrapText="1"/>
    </xf>
    <xf numFmtId="10" fontId="0" fillId="0" borderId="8" xfId="0" applyNumberFormat="1" applyFont="1" applyFill="1" applyBorder="1" applyAlignment="1">
      <alignment horizontal="center" vertical="center"/>
    </xf>
    <xf numFmtId="10" fontId="0" fillId="0" borderId="1" xfId="0" applyNumberFormat="1" applyFont="1" applyFill="1" applyBorder="1" applyAlignment="1">
      <alignment horizontal="center" vertical="center"/>
    </xf>
    <xf numFmtId="166" fontId="8" fillId="0" borderId="1" xfId="0" applyNumberFormat="1" applyFont="1" applyFill="1" applyBorder="1" applyAlignment="1">
      <alignment horizontal="center" vertical="center"/>
    </xf>
    <xf numFmtId="0" fontId="5" fillId="0" borderId="0" xfId="0" applyFont="1" applyAlignment="1">
      <alignment horizontal="centerContinuous" vertical="center"/>
    </xf>
    <xf numFmtId="0" fontId="15" fillId="0" borderId="1" xfId="0" applyFont="1" applyBorder="1" applyAlignment="1">
      <alignment vertical="center" wrapText="1"/>
    </xf>
    <xf numFmtId="0" fontId="16" fillId="0" borderId="1" xfId="0" applyFont="1" applyFill="1" applyBorder="1" applyAlignment="1">
      <alignment horizontal="left" vertical="center"/>
    </xf>
    <xf numFmtId="0" fontId="15" fillId="0" borderId="1" xfId="0" applyFont="1" applyBorder="1">
      <alignment vertical="center"/>
    </xf>
    <xf numFmtId="0" fontId="15" fillId="0" borderId="1" xfId="0" applyFont="1" applyBorder="1" applyAlignment="1">
      <alignment horizontal="center" vertical="center"/>
    </xf>
    <xf numFmtId="14" fontId="0" fillId="0" borderId="1" xfId="0" applyNumberFormat="1" applyBorder="1">
      <alignment vertical="center"/>
    </xf>
    <xf numFmtId="10" fontId="0" fillId="0" borderId="0" xfId="1" applyNumberFormat="1" applyFont="1">
      <alignment vertical="center"/>
    </xf>
    <xf numFmtId="0" fontId="8" fillId="0" borderId="0" xfId="0" applyFont="1" applyFill="1" applyBorder="1" applyAlignment="1">
      <alignment vertical="center"/>
    </xf>
    <xf numFmtId="0" fontId="17" fillId="0" borderId="0" xfId="0" applyFont="1" applyFill="1" applyBorder="1" applyAlignment="1">
      <alignment vertical="center"/>
    </xf>
    <xf numFmtId="0" fontId="8" fillId="0" borderId="0" xfId="0" applyNumberFormat="1" applyFont="1" applyFill="1" applyBorder="1" applyAlignment="1">
      <alignment vertical="center"/>
    </xf>
    <xf numFmtId="0" fontId="18" fillId="0" borderId="9" xfId="0" applyNumberFormat="1" applyFont="1" applyFill="1" applyBorder="1" applyAlignment="1">
      <alignment vertical="center"/>
    </xf>
    <xf numFmtId="0" fontId="8" fillId="0" borderId="10" xfId="0" applyFont="1" applyFill="1" applyBorder="1" applyAlignment="1">
      <alignment vertical="center"/>
    </xf>
    <xf numFmtId="0" fontId="8" fillId="0" borderId="11" xfId="0" applyFont="1" applyFill="1" applyBorder="1" applyAlignment="1">
      <alignment vertical="center"/>
    </xf>
    <xf numFmtId="0" fontId="8" fillId="0" borderId="12" xfId="0" applyFont="1" applyFill="1" applyBorder="1" applyAlignment="1">
      <alignment vertical="center"/>
    </xf>
    <xf numFmtId="0" fontId="8" fillId="0" borderId="13" xfId="0" applyFont="1" applyFill="1" applyBorder="1" applyAlignment="1">
      <alignment vertical="center"/>
    </xf>
    <xf numFmtId="0" fontId="8" fillId="0" borderId="14" xfId="0" applyFont="1" applyFill="1" applyBorder="1" applyAlignment="1">
      <alignment vertical="center"/>
    </xf>
    <xf numFmtId="0" fontId="19" fillId="0" borderId="9" xfId="0" applyNumberFormat="1" applyFont="1" applyFill="1" applyBorder="1" applyAlignment="1">
      <alignment vertical="center"/>
    </xf>
    <xf numFmtId="0" fontId="17" fillId="0" borderId="11" xfId="0" applyFont="1" applyFill="1" applyBorder="1" applyAlignment="1">
      <alignment vertical="center"/>
    </xf>
    <xf numFmtId="0" fontId="17" fillId="0" borderId="14" xfId="0" applyFont="1" applyFill="1" applyBorder="1" applyAlignment="1">
      <alignment vertical="center"/>
    </xf>
    <xf numFmtId="0" fontId="17" fillId="0" borderId="15" xfId="0" applyFont="1" applyFill="1" applyBorder="1" applyAlignment="1">
      <alignment vertical="center"/>
    </xf>
    <xf numFmtId="0" fontId="17" fillId="0" borderId="10" xfId="0" applyFont="1" applyFill="1" applyBorder="1" applyAlignment="1">
      <alignment vertical="center"/>
    </xf>
    <xf numFmtId="0" fontId="17" fillId="0" borderId="16" xfId="0" applyFont="1" applyFill="1" applyBorder="1" applyAlignment="1">
      <alignment vertical="center"/>
    </xf>
    <xf numFmtId="0" fontId="17" fillId="0" borderId="12" xfId="0" applyFont="1" applyFill="1" applyBorder="1" applyAlignment="1">
      <alignment vertical="center"/>
    </xf>
    <xf numFmtId="0" fontId="8" fillId="0" borderId="16" xfId="0" applyFont="1" applyFill="1" applyBorder="1" applyAlignment="1">
      <alignment vertical="center"/>
    </xf>
    <xf numFmtId="9" fontId="20" fillId="0" borderId="0" xfId="0" applyNumberFormat="1" applyFont="1" applyFill="1" applyBorder="1" applyAlignment="1">
      <alignment vertical="center"/>
    </xf>
    <xf numFmtId="0" fontId="21" fillId="0" borderId="0" xfId="0" applyNumberFormat="1" applyFont="1" applyFill="1" applyBorder="1" applyAlignment="1">
      <alignment vertical="center" wrapText="1"/>
    </xf>
    <xf numFmtId="0" fontId="21" fillId="0" borderId="16" xfId="0" applyNumberFormat="1" applyFont="1" applyFill="1" applyBorder="1" applyAlignment="1">
      <alignment vertical="center" wrapText="1"/>
    </xf>
    <xf numFmtId="0" fontId="8" fillId="0" borderId="19" xfId="0" applyFont="1" applyFill="1" applyBorder="1" applyAlignment="1">
      <alignment vertical="center"/>
    </xf>
    <xf numFmtId="0" fontId="8" fillId="0" borderId="9" xfId="0" applyNumberFormat="1" applyFont="1" applyFill="1" applyBorder="1" applyAlignment="1">
      <alignment vertical="center"/>
    </xf>
    <xf numFmtId="0" fontId="17" fillId="0" borderId="8" xfId="0" applyFont="1" applyFill="1" applyBorder="1" applyAlignment="1">
      <alignment horizontal="right" vertical="center"/>
    </xf>
    <xf numFmtId="9" fontId="8" fillId="0" borderId="1" xfId="1" applyFont="1" applyBorder="1" applyAlignment="1">
      <alignment horizontal="center" vertical="center"/>
    </xf>
    <xf numFmtId="9" fontId="8" fillId="0" borderId="1" xfId="1" applyNumberFormat="1" applyFont="1" applyBorder="1" applyAlignment="1">
      <alignment horizontal="center" vertical="center"/>
    </xf>
    <xf numFmtId="0" fontId="22" fillId="0" borderId="0" xfId="0" applyNumberFormat="1" applyFont="1" applyFill="1" applyBorder="1" applyAlignment="1">
      <alignment vertical="center"/>
    </xf>
    <xf numFmtId="0" fontId="8" fillId="0" borderId="1" xfId="0" quotePrefix="1" applyFont="1" applyFill="1" applyBorder="1" applyAlignment="1">
      <alignment horizontal="center" vertical="center"/>
    </xf>
    <xf numFmtId="164" fontId="4" fillId="0" borderId="1" xfId="0" quotePrefix="1" applyNumberFormat="1" applyFont="1" applyBorder="1" applyAlignment="1">
      <alignment horizontal="center" vertical="center"/>
    </xf>
    <xf numFmtId="0" fontId="8" fillId="3" borderId="1" xfId="0" quotePrefix="1" applyFont="1" applyFill="1" applyBorder="1" applyAlignment="1">
      <alignment horizontal="center" vertical="center"/>
    </xf>
    <xf numFmtId="9" fontId="8" fillId="0" borderId="1" xfId="0" quotePrefix="1" applyNumberFormat="1" applyFont="1" applyFill="1" applyBorder="1" applyAlignment="1">
      <alignment horizontal="center" vertical="center"/>
    </xf>
    <xf numFmtId="9" fontId="8" fillId="0" borderId="1" xfId="1" quotePrefix="1" applyNumberFormat="1" applyFont="1" applyFill="1" applyBorder="1" applyAlignment="1">
      <alignment horizontal="center" vertical="center"/>
    </xf>
    <xf numFmtId="0" fontId="12" fillId="0" borderId="1" xfId="0" quotePrefix="1" applyFont="1" applyFill="1" applyBorder="1" applyAlignment="1">
      <alignment horizontal="center" vertical="center" wrapText="1"/>
    </xf>
    <xf numFmtId="9" fontId="0" fillId="0" borderId="0" xfId="1" applyFont="1">
      <alignment vertical="center"/>
    </xf>
    <xf numFmtId="0" fontId="2" fillId="0" borderId="1" xfId="0" applyFont="1" applyBorder="1">
      <alignment vertical="center"/>
    </xf>
    <xf numFmtId="9" fontId="2" fillId="0" borderId="1" xfId="0" applyNumberFormat="1" applyFont="1" applyBorder="1" applyAlignment="1">
      <alignment horizontal="center" vertical="center"/>
    </xf>
    <xf numFmtId="0" fontId="2" fillId="0" borderId="1" xfId="0" applyFont="1" applyBorder="1" applyAlignment="1">
      <alignment vertical="center" wrapText="1"/>
    </xf>
    <xf numFmtId="9" fontId="8" fillId="0" borderId="1" xfId="0" applyNumberFormat="1" applyFont="1" applyFill="1" applyBorder="1" applyAlignment="1">
      <alignment horizontal="center" vertical="center" wrapText="1"/>
    </xf>
    <xf numFmtId="9" fontId="8" fillId="0" borderId="1" xfId="0" applyNumberFormat="1" applyFont="1" applyFill="1" applyBorder="1" applyAlignment="1">
      <alignment horizontal="left" vertical="center"/>
    </xf>
    <xf numFmtId="0" fontId="1" fillId="0" borderId="1" xfId="0" applyFont="1" applyBorder="1">
      <alignment vertical="center"/>
    </xf>
    <xf numFmtId="0" fontId="1" fillId="0" borderId="1" xfId="0" applyFont="1" applyBorder="1" applyAlignment="1">
      <alignment vertical="center" wrapText="1"/>
    </xf>
    <xf numFmtId="0" fontId="1" fillId="0" borderId="1" xfId="0" applyFont="1" applyBorder="1" applyAlignment="1">
      <alignment horizontal="center" vertical="center"/>
    </xf>
    <xf numFmtId="16" fontId="0" fillId="0" borderId="1" xfId="0" applyNumberFormat="1" applyBorder="1" applyAlignment="1">
      <alignment horizontal="center" vertical="center"/>
    </xf>
    <xf numFmtId="0" fontId="8" fillId="0" borderId="0" xfId="0" applyFont="1" applyFill="1" applyBorder="1" applyAlignment="1">
      <alignment horizontal="center" vertical="center"/>
    </xf>
    <xf numFmtId="0" fontId="22" fillId="5" borderId="18" xfId="0" applyNumberFormat="1" applyFont="1" applyFill="1" applyBorder="1" applyAlignment="1">
      <alignment horizontal="center" vertical="center"/>
    </xf>
    <xf numFmtId="0" fontId="22" fillId="5" borderId="23" xfId="0" applyNumberFormat="1" applyFont="1" applyFill="1" applyBorder="1" applyAlignment="1">
      <alignment horizontal="center" vertical="center"/>
    </xf>
    <xf numFmtId="0" fontId="22" fillId="5" borderId="24" xfId="0" applyNumberFormat="1" applyFont="1" applyFill="1" applyBorder="1" applyAlignment="1">
      <alignment horizontal="center" vertical="center"/>
    </xf>
    <xf numFmtId="0" fontId="22" fillId="0" borderId="18" xfId="0" applyNumberFormat="1" applyFont="1" applyFill="1" applyBorder="1" applyAlignment="1">
      <alignment horizontal="center" vertical="center"/>
    </xf>
    <xf numFmtId="0" fontId="22" fillId="0" borderId="23" xfId="0" applyNumberFormat="1" applyFont="1" applyFill="1" applyBorder="1" applyAlignment="1">
      <alignment horizontal="center" vertical="center"/>
    </xf>
    <xf numFmtId="0" fontId="22" fillId="0" borderId="24" xfId="0" applyNumberFormat="1" applyFont="1" applyFill="1" applyBorder="1" applyAlignment="1">
      <alignment horizontal="center" vertical="center"/>
    </xf>
    <xf numFmtId="9" fontId="20" fillId="0" borderId="18" xfId="0" applyNumberFormat="1" applyFont="1" applyFill="1" applyBorder="1" applyAlignment="1">
      <alignment horizontal="center" vertical="center"/>
    </xf>
    <xf numFmtId="9" fontId="20" fillId="0" borderId="23" xfId="0" applyNumberFormat="1" applyFont="1" applyFill="1" applyBorder="1" applyAlignment="1">
      <alignment horizontal="center" vertical="center"/>
    </xf>
    <xf numFmtId="9" fontId="20" fillId="0" borderId="24" xfId="0" applyNumberFormat="1" applyFont="1" applyFill="1" applyBorder="1" applyAlignment="1">
      <alignment horizontal="center" vertical="center"/>
    </xf>
    <xf numFmtId="9" fontId="20" fillId="0" borderId="20" xfId="0" applyNumberFormat="1" applyFont="1" applyFill="1" applyBorder="1" applyAlignment="1">
      <alignment horizontal="center" vertical="center"/>
    </xf>
    <xf numFmtId="9" fontId="20" fillId="0" borderId="25" xfId="0" applyNumberFormat="1" applyFont="1" applyFill="1" applyBorder="1" applyAlignment="1">
      <alignment horizontal="center" vertical="center"/>
    </xf>
    <xf numFmtId="9" fontId="20" fillId="0" borderId="26" xfId="0" applyNumberFormat="1" applyFont="1" applyFill="1" applyBorder="1" applyAlignment="1">
      <alignment horizontal="center" vertical="center"/>
    </xf>
    <xf numFmtId="0" fontId="21" fillId="0" borderId="17" xfId="0" applyNumberFormat="1" applyFont="1" applyFill="1" applyBorder="1" applyAlignment="1">
      <alignment horizontal="center" vertical="center" wrapText="1"/>
    </xf>
    <xf numFmtId="0" fontId="21" fillId="0" borderId="21" xfId="0" applyNumberFormat="1" applyFont="1" applyFill="1" applyBorder="1" applyAlignment="1">
      <alignment horizontal="center" vertical="center" wrapText="1"/>
    </xf>
    <xf numFmtId="0" fontId="21" fillId="0" borderId="22" xfId="0" applyNumberFormat="1" applyFont="1" applyFill="1" applyBorder="1" applyAlignment="1">
      <alignment horizontal="center" vertical="center" wrapText="1"/>
    </xf>
    <xf numFmtId="0" fontId="21" fillId="0" borderId="18" xfId="0" applyNumberFormat="1" applyFont="1" applyFill="1" applyBorder="1" applyAlignment="1">
      <alignment horizontal="center" vertical="center" wrapText="1"/>
    </xf>
    <xf numFmtId="0" fontId="21" fillId="0" borderId="23" xfId="0" applyNumberFormat="1" applyFont="1" applyFill="1" applyBorder="1" applyAlignment="1">
      <alignment horizontal="center" vertical="center" wrapText="1"/>
    </xf>
    <xf numFmtId="0" fontId="21" fillId="0" borderId="24" xfId="0" applyNumberFormat="1" applyFont="1" applyFill="1" applyBorder="1" applyAlignment="1">
      <alignment horizontal="center" vertical="center" wrapText="1"/>
    </xf>
    <xf numFmtId="9" fontId="20" fillId="5" borderId="18" xfId="0" applyNumberFormat="1" applyFont="1" applyFill="1" applyBorder="1" applyAlignment="1">
      <alignment horizontal="center" vertical="center"/>
    </xf>
    <xf numFmtId="9" fontId="20" fillId="5" borderId="23" xfId="0" applyNumberFormat="1" applyFont="1" applyFill="1" applyBorder="1" applyAlignment="1">
      <alignment horizontal="center" vertical="center"/>
    </xf>
    <xf numFmtId="9" fontId="20" fillId="5" borderId="24" xfId="0" applyNumberFormat="1" applyFont="1" applyFill="1" applyBorder="1" applyAlignment="1">
      <alignment horizontal="center" vertical="center"/>
    </xf>
    <xf numFmtId="0" fontId="3" fillId="0" borderId="1" xfId="0" applyFont="1" applyBorder="1" applyAlignment="1">
      <alignment horizontal="center" vertical="center" wrapText="1"/>
    </xf>
    <xf numFmtId="0" fontId="0"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27" xfId="0" applyBorder="1" applyAlignment="1">
      <alignment vertical="top" wrapText="1"/>
    </xf>
    <xf numFmtId="0" fontId="0" fillId="0" borderId="28" xfId="0" applyBorder="1" applyAlignment="1">
      <alignment vertical="top" wrapText="1"/>
    </xf>
    <xf numFmtId="0" fontId="0" fillId="0" borderId="29" xfId="0" applyBorder="1" applyAlignment="1">
      <alignment vertical="top" wrapText="1"/>
    </xf>
    <xf numFmtId="0" fontId="0" fillId="0" borderId="1" xfId="0" applyBorder="1" applyAlignment="1">
      <alignment horizontal="left" wrapText="1"/>
    </xf>
  </cellXfs>
  <cellStyles count="2">
    <cellStyle name="Normal" xfId="0" builtinId="0"/>
    <cellStyle name="Pourcentage" xfId="1" builtinId="5"/>
  </cellStyles>
  <dxfs count="165">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color rgb="FFFF0000"/>
      </font>
      <fill>
        <patternFill patternType="solid">
          <bgColor rgb="FFFFABAB"/>
        </patternFill>
      </fill>
    </dxf>
    <dxf>
      <font>
        <color rgb="FF006100"/>
      </font>
      <fill>
        <patternFill patternType="solid">
          <bgColor rgb="FFC6EFCE"/>
        </patternFill>
      </fill>
    </dxf>
    <dxf>
      <font>
        <color rgb="FF9C0006"/>
      </font>
      <fill>
        <patternFill patternType="solid">
          <bgColor rgb="FFFFC7CE"/>
        </patternFill>
      </fill>
    </dxf>
    <dxf>
      <font>
        <b val="0"/>
        <i val="0"/>
        <strike val="0"/>
        <u val="none"/>
        <sz val="10"/>
        <color rgb="FF9C0006"/>
        <name val="Arial"/>
        <scheme val="none"/>
      </font>
      <fill>
        <patternFill patternType="solid">
          <bgColor rgb="FFFFC7CE"/>
        </patternFill>
      </fill>
    </dxf>
    <dxf>
      <font>
        <b val="0"/>
        <i val="0"/>
        <strike val="0"/>
        <u val="none"/>
        <sz val="10"/>
        <color rgb="FF006100"/>
        <name val="Arial"/>
        <scheme val="none"/>
      </font>
      <fill>
        <patternFill patternType="solid">
          <bgColor rgb="FFC6EFCE"/>
        </patternFill>
      </fill>
    </dxf>
    <dxf>
      <font>
        <b val="0"/>
        <i val="0"/>
        <strike val="0"/>
        <u val="none"/>
        <sz val="10"/>
        <color rgb="FF9C0006"/>
        <name val="Arial"/>
        <scheme val="none"/>
      </font>
      <fill>
        <patternFill patternType="solid">
          <bgColor rgb="FFFFC7CE"/>
        </patternFill>
      </fill>
    </dxf>
    <dxf>
      <font>
        <b val="0"/>
        <i val="0"/>
        <strike val="0"/>
        <u val="none"/>
        <sz val="10"/>
        <color rgb="FF006100"/>
        <name val="Arial"/>
        <scheme val="none"/>
      </font>
      <fill>
        <patternFill patternType="solid">
          <bgColor rgb="FFC6EFCE"/>
        </patternFill>
      </fill>
    </dxf>
    <dxf>
      <font>
        <b val="0"/>
        <i val="0"/>
        <strike val="0"/>
        <u val="none"/>
        <sz val="10"/>
        <color rgb="FF9C0006"/>
        <name val="Arial"/>
        <scheme val="none"/>
      </font>
      <fill>
        <patternFill patternType="solid">
          <bgColor rgb="FFFFC7CE"/>
        </patternFill>
      </fill>
    </dxf>
    <dxf>
      <font>
        <b val="0"/>
        <i val="0"/>
        <strike val="0"/>
        <u val="none"/>
        <sz val="10"/>
        <color rgb="FF006100"/>
        <name val="Arial"/>
        <scheme val="none"/>
      </font>
      <fill>
        <patternFill patternType="solid">
          <bgColor rgb="FFC6EFCE"/>
        </patternFill>
      </fill>
    </dxf>
    <dxf>
      <font>
        <b val="0"/>
        <i val="0"/>
        <strike val="0"/>
        <u val="none"/>
        <sz val="10"/>
        <color rgb="FF9C0006"/>
        <name val="Arial"/>
        <scheme val="none"/>
      </font>
      <fill>
        <patternFill patternType="solid">
          <bgColor rgb="FFFFC7CE"/>
        </patternFill>
      </fill>
    </dxf>
    <dxf>
      <font>
        <b val="0"/>
        <i val="0"/>
        <strike val="0"/>
        <u val="none"/>
        <sz val="10"/>
        <color rgb="FF006100"/>
        <name val="Arial"/>
        <scheme val="none"/>
      </font>
      <fill>
        <patternFill patternType="solid">
          <bgColor rgb="FFC6EFCE"/>
        </patternFill>
      </fill>
    </dxf>
    <dxf>
      <font>
        <b val="0"/>
        <i val="0"/>
        <strike val="0"/>
        <u val="none"/>
        <sz val="10"/>
        <color rgb="FF9C0006"/>
        <name val="Arial"/>
        <scheme val="none"/>
      </font>
      <fill>
        <patternFill patternType="solid">
          <bgColor rgb="FFFFC7CE"/>
        </patternFill>
      </fill>
    </dxf>
    <dxf>
      <font>
        <b val="0"/>
        <i val="0"/>
        <strike val="0"/>
        <u val="none"/>
        <sz val="10"/>
        <color rgb="FF006100"/>
        <name val="Arial"/>
        <scheme val="none"/>
      </font>
      <fill>
        <patternFill patternType="solid">
          <bgColor rgb="FFC6EFCE"/>
        </patternFill>
      </fill>
    </dxf>
    <dxf>
      <font>
        <b val="0"/>
        <i val="0"/>
        <strike val="0"/>
        <u val="none"/>
        <sz val="10"/>
        <color rgb="FF9C0006"/>
        <name val="Arial"/>
        <scheme val="none"/>
      </font>
      <fill>
        <patternFill patternType="solid">
          <bgColor rgb="FFFFC7CE"/>
        </patternFill>
      </fill>
    </dxf>
    <dxf>
      <font>
        <b val="0"/>
        <i val="0"/>
        <strike val="0"/>
        <u val="none"/>
        <sz val="10"/>
        <color rgb="FF006100"/>
        <name val="Arial"/>
        <scheme val="none"/>
      </font>
      <fill>
        <patternFill patternType="solid">
          <bgColor rgb="FFC6EFCE"/>
        </patternFill>
      </fill>
    </dxf>
  </dxfs>
  <tableStyles count="0" defaultTableStyle="TableStyleMedium2" defaultPivotStyle="PivotStyleLight16"/>
  <colors>
    <mruColors>
      <color rgb="FFFFA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3744017503077"/>
          <c:y val="0.160855263157895"/>
          <c:w val="0.51251196499384699"/>
          <c:h val="0.61644736842105297"/>
        </c:manualLayout>
      </c:layout>
      <c:radarChart>
        <c:radarStyle val="marker"/>
        <c:varyColors val="0"/>
        <c:ser>
          <c:idx val="0"/>
          <c:order val="0"/>
          <c:tx>
            <c:strRef>
              <c:f>Objectif!$AL$3</c:f>
              <c:strCache>
                <c:ptCount val="1"/>
                <c:pt idx="0">
                  <c:v>Objectif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Objectif!$AK$4:$AK$12</c:f>
              <c:strCache>
                <c:ptCount val="9"/>
                <c:pt idx="0">
                  <c:v>Production</c:v>
                </c:pt>
                <c:pt idx="1">
                  <c:v>Méthodes et Qualité</c:v>
                </c:pt>
                <c:pt idx="2">
                  <c:v>Etudes</c:v>
                </c:pt>
                <c:pt idx="3">
                  <c:v>Développement</c:v>
                </c:pt>
                <c:pt idx="4">
                  <c:v>DSI</c:v>
                </c:pt>
                <c:pt idx="5">
                  <c:v>ADMIN</c:v>
                </c:pt>
                <c:pt idx="6">
                  <c:v>RH</c:v>
                </c:pt>
                <c:pt idx="7">
                  <c:v>SG</c:v>
                </c:pt>
                <c:pt idx="8">
                  <c:v>Jouve Madagascar</c:v>
                </c:pt>
              </c:strCache>
            </c:strRef>
          </c:cat>
          <c:val>
            <c:numRef>
              <c:f>Objectif!$AL$4:$AL$12</c:f>
              <c:numCache>
                <c:formatCode>0%</c:formatCode>
                <c:ptCount val="9"/>
                <c:pt idx="0">
                  <c:v>0.25</c:v>
                </c:pt>
                <c:pt idx="1">
                  <c:v>0.25</c:v>
                </c:pt>
                <c:pt idx="2">
                  <c:v>0.25</c:v>
                </c:pt>
                <c:pt idx="3">
                  <c:v>0.25</c:v>
                </c:pt>
                <c:pt idx="4">
                  <c:v>0.25</c:v>
                </c:pt>
                <c:pt idx="5">
                  <c:v>0.25</c:v>
                </c:pt>
                <c:pt idx="6">
                  <c:v>0.25</c:v>
                </c:pt>
                <c:pt idx="7">
                  <c:v>0.25</c:v>
                </c:pt>
                <c:pt idx="8">
                  <c:v>0.25</c:v>
                </c:pt>
              </c:numCache>
            </c:numRef>
          </c:val>
          <c:extLst>
            <c:ext xmlns:c16="http://schemas.microsoft.com/office/drawing/2014/chart" uri="{C3380CC4-5D6E-409C-BE32-E72D297353CC}">
              <c16:uniqueId val="{00000000-1387-4F12-83EB-DEAF8BAE3B85}"/>
            </c:ext>
          </c:extLst>
        </c:ser>
        <c:ser>
          <c:idx val="1"/>
          <c:order val="1"/>
          <c:tx>
            <c:strRef>
              <c:f>Objectif!$AM$3</c:f>
              <c:strCache>
                <c:ptCount val="1"/>
                <c:pt idx="0">
                  <c:v>Mars 2018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2.6117872282237099E-2"/>
                  <c:y val="2.72810446643932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87-4F12-83EB-DEAF8BAE3B85}"/>
                </c:ext>
              </c:extLst>
            </c:dLbl>
            <c:dLbl>
              <c:idx val="1"/>
              <c:layout>
                <c:manualLayout>
                  <c:x val="7.5208532749897403E-3"/>
                  <c:y val="4.30840888297430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87-4F12-83EB-DEAF8BAE3B85}"/>
                </c:ext>
              </c:extLst>
            </c:dLbl>
            <c:dLbl>
              <c:idx val="4"/>
              <c:layout>
                <c:manualLayout>
                  <c:x val="9.2985095036236792E-3"/>
                  <c:y val="-7.252765532728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87-4F12-83EB-DEAF8BAE3B85}"/>
                </c:ext>
              </c:extLst>
            </c:dLbl>
            <c:dLbl>
              <c:idx val="7"/>
              <c:layout>
                <c:manualLayout>
                  <c:x val="2.6049500888828101E-2"/>
                  <c:y val="4.491391499625720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87-4F12-83EB-DEAF8BAE3B85}"/>
                </c:ext>
              </c:extLst>
            </c:dLbl>
            <c:spPr>
              <a:noFill/>
              <a:ln>
                <a:noFill/>
              </a:ln>
              <a:effectLst/>
            </c:spPr>
            <c:txPr>
              <a:bodyPr rot="0" spcFirstLastPara="0" vertOverflow="ellipsis" vert="horz" wrap="square" lIns="38100" tIns="19050" rIns="38100" bIns="19050" anchor="ctr" anchorCtr="1"/>
              <a:lstStyle/>
              <a:p>
                <a:pPr>
                  <a:defRPr lang="fr-FR" sz="1600" b="1" i="0" u="none" strike="noStrike" kern="1200" baseline="0">
                    <a:solidFill>
                      <a:srgbClr val="FF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Objectif!$AK$4:$AK$12</c:f>
              <c:strCache>
                <c:ptCount val="9"/>
                <c:pt idx="0">
                  <c:v>Production</c:v>
                </c:pt>
                <c:pt idx="1">
                  <c:v>Méthodes et Qualité</c:v>
                </c:pt>
                <c:pt idx="2">
                  <c:v>Etudes</c:v>
                </c:pt>
                <c:pt idx="3">
                  <c:v>Développement</c:v>
                </c:pt>
                <c:pt idx="4">
                  <c:v>DSI</c:v>
                </c:pt>
                <c:pt idx="5">
                  <c:v>ADMIN</c:v>
                </c:pt>
                <c:pt idx="6">
                  <c:v>RH</c:v>
                </c:pt>
                <c:pt idx="7">
                  <c:v>SG</c:v>
                </c:pt>
                <c:pt idx="8">
                  <c:v>Jouve Madagascar</c:v>
                </c:pt>
              </c:strCache>
            </c:strRef>
          </c:cat>
          <c:val>
            <c:numRef>
              <c:f>Objectif!$AM$4:$AM$12</c:f>
              <c:numCache>
                <c:formatCode>0%</c:formatCode>
                <c:ptCount val="9"/>
                <c:pt idx="0">
                  <c:v>0.77442123711340205</c:v>
                </c:pt>
                <c:pt idx="1">
                  <c:v>0.94660064148466405</c:v>
                </c:pt>
                <c:pt idx="2">
                  <c:v>0.47857142857142859</c:v>
                </c:pt>
                <c:pt idx="3">
                  <c:v>0.17499999999999999</c:v>
                </c:pt>
                <c:pt idx="4">
                  <c:v>0.95252129629629589</c:v>
                </c:pt>
                <c:pt idx="5">
                  <c:v>0.72733333333333317</c:v>
                </c:pt>
                <c:pt idx="6">
                  <c:v>0</c:v>
                </c:pt>
                <c:pt idx="7">
                  <c:v>0</c:v>
                </c:pt>
                <c:pt idx="8">
                  <c:v>0</c:v>
                </c:pt>
              </c:numCache>
            </c:numRef>
          </c:val>
          <c:extLst>
            <c:ext xmlns:c16="http://schemas.microsoft.com/office/drawing/2014/chart" uri="{C3380CC4-5D6E-409C-BE32-E72D297353CC}">
              <c16:uniqueId val="{00000005-1387-4F12-83EB-DEAF8BAE3B85}"/>
            </c:ext>
          </c:extLst>
        </c:ser>
        <c:dLbls>
          <c:showLegendKey val="0"/>
          <c:showVal val="0"/>
          <c:showCatName val="0"/>
          <c:showSerName val="0"/>
          <c:showPercent val="0"/>
          <c:showBubbleSize val="0"/>
        </c:dLbls>
        <c:axId val="117707696"/>
        <c:axId val="117708256"/>
      </c:radarChart>
      <c:catAx>
        <c:axId val="11770769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fr-FR" sz="2000" b="1" i="0" u="none" strike="noStrike" kern="1200" baseline="0">
                <a:solidFill>
                  <a:schemeClr val="tx1">
                    <a:lumMod val="65000"/>
                    <a:lumOff val="35000"/>
                  </a:schemeClr>
                </a:solidFill>
                <a:latin typeface="+mn-lt"/>
                <a:ea typeface="+mn-ea"/>
                <a:cs typeface="+mn-cs"/>
              </a:defRPr>
            </a:pPr>
            <a:endParaRPr lang="fr-FR"/>
          </a:p>
        </c:txPr>
        <c:crossAx val="117708256"/>
        <c:crosses val="autoZero"/>
        <c:auto val="1"/>
        <c:lblAlgn val="ctr"/>
        <c:lblOffset val="100"/>
        <c:noMultiLvlLbl val="0"/>
      </c:catAx>
      <c:valAx>
        <c:axId val="117708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fr-FR" sz="1600" b="0" i="0" u="none" strike="noStrike" kern="1200" baseline="0">
                <a:solidFill>
                  <a:schemeClr val="tx1">
                    <a:lumMod val="65000"/>
                    <a:lumOff val="35000"/>
                  </a:schemeClr>
                </a:solidFill>
                <a:latin typeface="+mn-lt"/>
                <a:ea typeface="+mn-ea"/>
                <a:cs typeface="+mn-cs"/>
              </a:defRPr>
            </a:pPr>
            <a:endParaRPr lang="fr-FR"/>
          </a:p>
        </c:txPr>
        <c:crossAx val="117707696"/>
        <c:crosses val="autoZero"/>
        <c:crossBetween val="between"/>
      </c:valAx>
      <c:spPr>
        <a:noFill/>
        <a:ln>
          <a:noFill/>
        </a:ln>
        <a:effectLst/>
      </c:spPr>
    </c:plotArea>
    <c:legend>
      <c:legendPos val="t"/>
      <c:legendEntry>
        <c:idx val="0"/>
        <c:txPr>
          <a:bodyPr rot="0" spcFirstLastPara="0" vertOverflow="ellipsis" vert="horz" wrap="square" anchor="ctr" anchorCtr="1"/>
          <a:lstStyle/>
          <a:p>
            <a:pPr>
              <a:defRPr lang="fr-FR" sz="1800" b="0" i="0" u="none" strike="noStrike" kern="1200" baseline="0">
                <a:solidFill>
                  <a:schemeClr val="tx1">
                    <a:lumMod val="65000"/>
                    <a:lumOff val="35000"/>
                  </a:schemeClr>
                </a:solidFill>
                <a:latin typeface="+mn-lt"/>
                <a:ea typeface="+mn-ea"/>
                <a:cs typeface="+mn-cs"/>
              </a:defRPr>
            </a:pPr>
            <a:endParaRPr lang="fr-FR"/>
          </a:p>
        </c:txPr>
      </c:legendEntry>
      <c:legendEntry>
        <c:idx val="1"/>
        <c:txPr>
          <a:bodyPr rot="0" spcFirstLastPara="0" vertOverflow="ellipsis" vert="horz" wrap="square" anchor="ctr" anchorCtr="1"/>
          <a:lstStyle/>
          <a:p>
            <a:pPr>
              <a:defRPr lang="fr-FR" sz="1800" b="0" i="0" u="none" strike="noStrike" kern="1200" baseline="0">
                <a:solidFill>
                  <a:schemeClr val="tx1">
                    <a:lumMod val="65000"/>
                    <a:lumOff val="35000"/>
                  </a:schemeClr>
                </a:solidFill>
                <a:latin typeface="+mn-lt"/>
                <a:ea typeface="+mn-ea"/>
                <a:cs typeface="+mn-cs"/>
              </a:defRPr>
            </a:pPr>
            <a:endParaRPr lang="fr-FR"/>
          </a:p>
        </c:txPr>
      </c:legendEntry>
      <c:layout>
        <c:manualLayout>
          <c:xMode val="edge"/>
          <c:yMode val="edge"/>
          <c:x val="0.35385983021602402"/>
          <c:y val="0.936396286924284"/>
        </c:manualLayout>
      </c:layout>
      <c:overlay val="0"/>
      <c:spPr>
        <a:noFill/>
        <a:ln>
          <a:noFill/>
        </a:ln>
        <a:effectLst/>
      </c:spPr>
      <c:txPr>
        <a:bodyPr rot="0" spcFirstLastPara="0" vertOverflow="ellipsis" vert="horz" wrap="square" anchor="ctr" anchorCtr="1"/>
        <a:lstStyle/>
        <a:p>
          <a:pPr>
            <a:defRPr lang="fr-FR" sz="1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fr-F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3744017503077"/>
          <c:y val="0.160855263157895"/>
          <c:w val="0.51251196499384699"/>
          <c:h val="0.61644736842105297"/>
        </c:manualLayout>
      </c:layout>
      <c:radarChart>
        <c:radarStyle val="marker"/>
        <c:varyColors val="0"/>
        <c:ser>
          <c:idx val="0"/>
          <c:order val="0"/>
          <c:tx>
            <c:strRef>
              <c:f>'Suivi activité'!$AL$3</c:f>
              <c:strCache>
                <c:ptCount val="1"/>
                <c:pt idx="0">
                  <c:v>Objectif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'Suivi activité'!$AK$4:$AK$12</c:f>
              <c:strCache>
                <c:ptCount val="9"/>
                <c:pt idx="0">
                  <c:v>Production</c:v>
                </c:pt>
                <c:pt idx="1">
                  <c:v>Méthodes et Qualité</c:v>
                </c:pt>
                <c:pt idx="2">
                  <c:v>Etudes</c:v>
                </c:pt>
                <c:pt idx="3">
                  <c:v>Développement</c:v>
                </c:pt>
                <c:pt idx="4">
                  <c:v>DSI</c:v>
                </c:pt>
                <c:pt idx="5">
                  <c:v>ADMIN</c:v>
                </c:pt>
                <c:pt idx="6">
                  <c:v>RH</c:v>
                </c:pt>
                <c:pt idx="7">
                  <c:v>SG</c:v>
                </c:pt>
                <c:pt idx="8">
                  <c:v>Jouve Madagascar</c:v>
                </c:pt>
              </c:strCache>
            </c:strRef>
          </c:cat>
          <c:val>
            <c:numRef>
              <c:f>'Suivi activité'!$AL$4:$AL$12</c:f>
              <c:numCache>
                <c:formatCode>0%</c:formatCode>
                <c:ptCount val="9"/>
                <c:pt idx="0">
                  <c:v>1</c:v>
                </c:pt>
                <c:pt idx="1">
                  <c:v>1</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0-C321-42EF-BE52-63FC56FA8567}"/>
            </c:ext>
          </c:extLst>
        </c:ser>
        <c:ser>
          <c:idx val="1"/>
          <c:order val="1"/>
          <c:tx>
            <c:strRef>
              <c:f>'Suivi activité'!$AM$3</c:f>
              <c:strCache>
                <c:ptCount val="1"/>
                <c:pt idx="0">
                  <c:v>Mars 2018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2.6117872282237099E-2"/>
                  <c:y val="2.72810446643932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21-42EF-BE52-63FC56FA8567}"/>
                </c:ext>
              </c:extLst>
            </c:dLbl>
            <c:dLbl>
              <c:idx val="1"/>
              <c:layout>
                <c:manualLayout>
                  <c:x val="7.5208532749897403E-3"/>
                  <c:y val="4.30840888297430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21-42EF-BE52-63FC56FA8567}"/>
                </c:ext>
              </c:extLst>
            </c:dLbl>
            <c:dLbl>
              <c:idx val="4"/>
              <c:layout>
                <c:manualLayout>
                  <c:x val="9.2985095036236792E-3"/>
                  <c:y val="-7.252765532728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21-42EF-BE52-63FC56FA8567}"/>
                </c:ext>
              </c:extLst>
            </c:dLbl>
            <c:dLbl>
              <c:idx val="7"/>
              <c:layout>
                <c:manualLayout>
                  <c:x val="2.6049500888828101E-2"/>
                  <c:y val="4.491391499625720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321-42EF-BE52-63FC56FA8567}"/>
                </c:ext>
              </c:extLst>
            </c:dLbl>
            <c:spPr>
              <a:noFill/>
              <a:ln>
                <a:noFill/>
              </a:ln>
              <a:effectLst/>
            </c:spPr>
            <c:txPr>
              <a:bodyPr rot="0" spcFirstLastPara="0" vertOverflow="ellipsis" vert="horz" wrap="square" lIns="38100" tIns="19050" rIns="38100" bIns="19050" anchor="ctr" anchorCtr="1"/>
              <a:lstStyle/>
              <a:p>
                <a:pPr>
                  <a:defRPr lang="fr-FR" sz="1600" b="1" i="0" u="none" strike="noStrike" kern="1200" baseline="0">
                    <a:solidFill>
                      <a:srgbClr val="FF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'Suivi activité'!$AK$4:$AK$12</c:f>
              <c:strCache>
                <c:ptCount val="9"/>
                <c:pt idx="0">
                  <c:v>Production</c:v>
                </c:pt>
                <c:pt idx="1">
                  <c:v>Méthodes et Qualité</c:v>
                </c:pt>
                <c:pt idx="2">
                  <c:v>Etudes</c:v>
                </c:pt>
                <c:pt idx="3">
                  <c:v>Développement</c:v>
                </c:pt>
                <c:pt idx="4">
                  <c:v>DSI</c:v>
                </c:pt>
                <c:pt idx="5">
                  <c:v>ADMIN</c:v>
                </c:pt>
                <c:pt idx="6">
                  <c:v>RH</c:v>
                </c:pt>
                <c:pt idx="7">
                  <c:v>SG</c:v>
                </c:pt>
                <c:pt idx="8">
                  <c:v>Jouve Madagascar</c:v>
                </c:pt>
              </c:strCache>
            </c:strRef>
          </c:cat>
          <c:val>
            <c:numRef>
              <c:f>'Suivi activité'!$AM$4:$AM$12</c:f>
              <c:numCache>
                <c:formatCode>0%</c:formatCode>
                <c:ptCount val="9"/>
                <c:pt idx="0">
                  <c:v>0.54142300747459471</c:v>
                </c:pt>
                <c:pt idx="1">
                  <c:v>0.83117283950617293</c:v>
                </c:pt>
                <c:pt idx="2">
                  <c:v>0.31373834719072813</c:v>
                </c:pt>
                <c:pt idx="3">
                  <c:v>0.36098030570252798</c:v>
                </c:pt>
                <c:pt idx="4">
                  <c:v>6.1308474006886708E-2</c:v>
                </c:pt>
                <c:pt idx="5">
                  <c:v>0.24415637860082307</c:v>
                </c:pt>
                <c:pt idx="6">
                  <c:v>0</c:v>
                </c:pt>
                <c:pt idx="7">
                  <c:v>0</c:v>
                </c:pt>
                <c:pt idx="8">
                  <c:v>0</c:v>
                </c:pt>
              </c:numCache>
            </c:numRef>
          </c:val>
          <c:extLst>
            <c:ext xmlns:c16="http://schemas.microsoft.com/office/drawing/2014/chart" uri="{C3380CC4-5D6E-409C-BE32-E72D297353CC}">
              <c16:uniqueId val="{00000005-C321-42EF-BE52-63FC56FA8567}"/>
            </c:ext>
          </c:extLst>
        </c:ser>
        <c:dLbls>
          <c:showLegendKey val="0"/>
          <c:showVal val="0"/>
          <c:showCatName val="0"/>
          <c:showSerName val="0"/>
          <c:showPercent val="0"/>
          <c:showBubbleSize val="0"/>
        </c:dLbls>
        <c:axId val="46107312"/>
        <c:axId val="46107872"/>
      </c:radarChart>
      <c:catAx>
        <c:axId val="4610731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fr-FR" sz="2000" b="1" i="0" u="none" strike="noStrike" kern="1200" baseline="0">
                <a:solidFill>
                  <a:schemeClr val="tx1">
                    <a:lumMod val="65000"/>
                    <a:lumOff val="35000"/>
                  </a:schemeClr>
                </a:solidFill>
                <a:latin typeface="+mn-lt"/>
                <a:ea typeface="+mn-ea"/>
                <a:cs typeface="+mn-cs"/>
              </a:defRPr>
            </a:pPr>
            <a:endParaRPr lang="fr-FR"/>
          </a:p>
        </c:txPr>
        <c:crossAx val="46107872"/>
        <c:crosses val="autoZero"/>
        <c:auto val="1"/>
        <c:lblAlgn val="ctr"/>
        <c:lblOffset val="100"/>
        <c:noMultiLvlLbl val="0"/>
      </c:catAx>
      <c:valAx>
        <c:axId val="46107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fr-FR" sz="1600" b="0" i="0" u="none" strike="noStrike" kern="1200" baseline="0">
                <a:solidFill>
                  <a:schemeClr val="tx1">
                    <a:lumMod val="65000"/>
                    <a:lumOff val="35000"/>
                  </a:schemeClr>
                </a:solidFill>
                <a:latin typeface="+mn-lt"/>
                <a:ea typeface="+mn-ea"/>
                <a:cs typeface="+mn-cs"/>
              </a:defRPr>
            </a:pPr>
            <a:endParaRPr lang="fr-FR"/>
          </a:p>
        </c:txPr>
        <c:crossAx val="46107312"/>
        <c:crosses val="autoZero"/>
        <c:crossBetween val="between"/>
      </c:valAx>
      <c:spPr>
        <a:noFill/>
        <a:ln>
          <a:noFill/>
        </a:ln>
        <a:effectLst/>
      </c:spPr>
    </c:plotArea>
    <c:legend>
      <c:legendPos val="t"/>
      <c:legendEntry>
        <c:idx val="0"/>
        <c:txPr>
          <a:bodyPr rot="0" spcFirstLastPara="0" vertOverflow="ellipsis" vert="horz" wrap="square" anchor="ctr" anchorCtr="1"/>
          <a:lstStyle/>
          <a:p>
            <a:pPr>
              <a:defRPr lang="fr-FR" sz="1800" b="0" i="0" u="none" strike="noStrike" kern="1200" baseline="0">
                <a:solidFill>
                  <a:schemeClr val="tx1">
                    <a:lumMod val="65000"/>
                    <a:lumOff val="35000"/>
                  </a:schemeClr>
                </a:solidFill>
                <a:latin typeface="+mn-lt"/>
                <a:ea typeface="+mn-ea"/>
                <a:cs typeface="+mn-cs"/>
              </a:defRPr>
            </a:pPr>
            <a:endParaRPr lang="fr-FR"/>
          </a:p>
        </c:txPr>
      </c:legendEntry>
      <c:legendEntry>
        <c:idx val="1"/>
        <c:txPr>
          <a:bodyPr rot="0" spcFirstLastPara="0" vertOverflow="ellipsis" vert="horz" wrap="square" anchor="ctr" anchorCtr="1"/>
          <a:lstStyle/>
          <a:p>
            <a:pPr>
              <a:defRPr lang="fr-FR" sz="1800" b="0" i="0" u="none" strike="noStrike" kern="1200" baseline="0">
                <a:solidFill>
                  <a:schemeClr val="tx1">
                    <a:lumMod val="65000"/>
                    <a:lumOff val="35000"/>
                  </a:schemeClr>
                </a:solidFill>
                <a:latin typeface="+mn-lt"/>
                <a:ea typeface="+mn-ea"/>
                <a:cs typeface="+mn-cs"/>
              </a:defRPr>
            </a:pPr>
            <a:endParaRPr lang="fr-FR"/>
          </a:p>
        </c:txPr>
      </c:legendEntry>
      <c:layout>
        <c:manualLayout>
          <c:xMode val="edge"/>
          <c:yMode val="edge"/>
          <c:x val="0.35385983021602402"/>
          <c:y val="0.936396286924284"/>
        </c:manualLayout>
      </c:layout>
      <c:overlay val="0"/>
      <c:spPr>
        <a:noFill/>
        <a:ln>
          <a:noFill/>
        </a:ln>
        <a:effectLst/>
      </c:spPr>
      <c:txPr>
        <a:bodyPr rot="0" spcFirstLastPara="0" vertOverflow="ellipsis" vert="horz" wrap="square" anchor="ctr" anchorCtr="1"/>
        <a:lstStyle/>
        <a:p>
          <a:pPr>
            <a:defRPr lang="fr-FR" sz="1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fr-F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3744017503077"/>
          <c:y val="0.160855263157895"/>
          <c:w val="0.51251196499384699"/>
          <c:h val="0.61644736842105297"/>
        </c:manualLayout>
      </c:layout>
      <c:radarChart>
        <c:radarStyle val="marker"/>
        <c:varyColors val="0"/>
        <c:ser>
          <c:idx val="0"/>
          <c:order val="0"/>
          <c:tx>
            <c:strRef>
              <c:f>'Application du Lean'!$AL$3</c:f>
              <c:strCache>
                <c:ptCount val="1"/>
                <c:pt idx="0">
                  <c:v>Objectif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'Application du Lean'!$AK$4:$AK$11</c:f>
              <c:strCache>
                <c:ptCount val="8"/>
                <c:pt idx="0">
                  <c:v>Production</c:v>
                </c:pt>
                <c:pt idx="1">
                  <c:v>Etudes</c:v>
                </c:pt>
                <c:pt idx="2">
                  <c:v>Développement</c:v>
                </c:pt>
                <c:pt idx="3">
                  <c:v>DSI</c:v>
                </c:pt>
                <c:pt idx="4">
                  <c:v>ADMIN</c:v>
                </c:pt>
                <c:pt idx="5">
                  <c:v>RH</c:v>
                </c:pt>
                <c:pt idx="6">
                  <c:v>SG</c:v>
                </c:pt>
                <c:pt idx="7">
                  <c:v>Jouve Madagascar</c:v>
                </c:pt>
              </c:strCache>
            </c:strRef>
          </c:cat>
          <c:val>
            <c:numRef>
              <c:f>'Application du Lean'!$AL$4:$AL$11</c:f>
              <c:numCache>
                <c:formatCode>0%</c:formatCode>
                <c:ptCount val="8"/>
                <c:pt idx="0">
                  <c:v>1</c:v>
                </c:pt>
                <c:pt idx="1">
                  <c:v>1</c:v>
                </c:pt>
                <c:pt idx="2">
                  <c:v>1</c:v>
                </c:pt>
                <c:pt idx="3">
                  <c:v>1</c:v>
                </c:pt>
                <c:pt idx="4">
                  <c:v>1</c:v>
                </c:pt>
                <c:pt idx="5">
                  <c:v>1</c:v>
                </c:pt>
                <c:pt idx="6">
                  <c:v>1</c:v>
                </c:pt>
                <c:pt idx="7">
                  <c:v>1</c:v>
                </c:pt>
              </c:numCache>
            </c:numRef>
          </c:val>
          <c:extLst>
            <c:ext xmlns:c16="http://schemas.microsoft.com/office/drawing/2014/chart" uri="{C3380CC4-5D6E-409C-BE32-E72D297353CC}">
              <c16:uniqueId val="{00000000-8406-4251-A5C5-E385CA7E3B7C}"/>
            </c:ext>
          </c:extLst>
        </c:ser>
        <c:ser>
          <c:idx val="1"/>
          <c:order val="1"/>
          <c:tx>
            <c:strRef>
              <c:f>'Application du Lean'!$AM$3</c:f>
              <c:strCache>
                <c:ptCount val="1"/>
                <c:pt idx="0">
                  <c:v>Mars 2018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0.102625461506906"/>
                  <c:y val="3.17724361640188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06-4251-A5C5-E385CA7E3B7C}"/>
                </c:ext>
              </c:extLst>
            </c:dLbl>
            <c:dLbl>
              <c:idx val="1"/>
              <c:layout>
                <c:manualLayout>
                  <c:x val="7.5208532749897403E-3"/>
                  <c:y val="4.30840888297430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406-4251-A5C5-E385CA7E3B7C}"/>
                </c:ext>
              </c:extLst>
            </c:dLbl>
            <c:dLbl>
              <c:idx val="2"/>
              <c:layout>
                <c:manualLayout>
                  <c:x val="3.1655955148365902E-2"/>
                  <c:y val="3.626382766364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406-4251-A5C5-E385CA7E3B7C}"/>
                </c:ext>
              </c:extLst>
            </c:dLbl>
            <c:dLbl>
              <c:idx val="3"/>
              <c:layout>
                <c:manualLayout>
                  <c:x val="3.35703541638179E-2"/>
                  <c:y val="8.62513515761457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406-4251-A5C5-E385CA7E3B7C}"/>
                </c:ext>
              </c:extLst>
            </c:dLbl>
            <c:dLbl>
              <c:idx val="4"/>
              <c:layout>
                <c:manualLayout>
                  <c:x val="9.2985095036236792E-3"/>
                  <c:y val="-7.252765532728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06-4251-A5C5-E385CA7E3B7C}"/>
                </c:ext>
              </c:extLst>
            </c:dLbl>
            <c:dLbl>
              <c:idx val="6"/>
              <c:layout>
                <c:manualLayout>
                  <c:x val="-1.1212908519075601E-2"/>
                  <c:y val="3.1772436164019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406-4251-A5C5-E385CA7E3B7C}"/>
                </c:ext>
              </c:extLst>
            </c:dLbl>
            <c:dLbl>
              <c:idx val="7"/>
              <c:layout>
                <c:manualLayout>
                  <c:x val="-8.5737727334883093E-2"/>
                  <c:y val="5.20668718289944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406-4251-A5C5-E385CA7E3B7C}"/>
                </c:ext>
              </c:extLst>
            </c:dLbl>
            <c:spPr>
              <a:noFill/>
              <a:ln>
                <a:noFill/>
              </a:ln>
              <a:effectLst/>
            </c:spPr>
            <c:txPr>
              <a:bodyPr rot="0" spcFirstLastPara="0" vertOverflow="ellipsis" vert="horz" wrap="square" lIns="38100" tIns="19050" rIns="38100" bIns="19050" anchor="ctr" anchorCtr="1"/>
              <a:lstStyle/>
              <a:p>
                <a:pPr>
                  <a:defRPr lang="fr-FR" sz="1600" b="1" i="0" u="none" strike="noStrike" kern="1200" baseline="0">
                    <a:solidFill>
                      <a:srgbClr val="FF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'Application du Lean'!$AK$4:$AK$11</c:f>
              <c:strCache>
                <c:ptCount val="8"/>
                <c:pt idx="0">
                  <c:v>Production</c:v>
                </c:pt>
                <c:pt idx="1">
                  <c:v>Etudes</c:v>
                </c:pt>
                <c:pt idx="2">
                  <c:v>Développement</c:v>
                </c:pt>
                <c:pt idx="3">
                  <c:v>DSI</c:v>
                </c:pt>
                <c:pt idx="4">
                  <c:v>ADMIN</c:v>
                </c:pt>
                <c:pt idx="5">
                  <c:v>RH</c:v>
                </c:pt>
                <c:pt idx="6">
                  <c:v>SG</c:v>
                </c:pt>
                <c:pt idx="7">
                  <c:v>Jouve Madagascar</c:v>
                </c:pt>
              </c:strCache>
            </c:strRef>
          </c:cat>
          <c:val>
            <c:numRef>
              <c:f>'Application du Lean'!$AM$4:$AM$11</c:f>
              <c:numCache>
                <c:formatCode>0%</c:formatCode>
                <c:ptCount val="8"/>
                <c:pt idx="0">
                  <c:v>0.95800000000000007</c:v>
                </c:pt>
                <c:pt idx="1">
                  <c:v>1</c:v>
                </c:pt>
                <c:pt idx="2">
                  <c:v>0.89071428571428568</c:v>
                </c:pt>
                <c:pt idx="3">
                  <c:v>0.755</c:v>
                </c:pt>
                <c:pt idx="4">
                  <c:v>0.9821428571428571</c:v>
                </c:pt>
                <c:pt idx="5">
                  <c:v>0</c:v>
                </c:pt>
                <c:pt idx="6">
                  <c:v>0</c:v>
                </c:pt>
                <c:pt idx="7">
                  <c:v>0</c:v>
                </c:pt>
              </c:numCache>
            </c:numRef>
          </c:val>
          <c:extLst>
            <c:ext xmlns:c16="http://schemas.microsoft.com/office/drawing/2014/chart" uri="{C3380CC4-5D6E-409C-BE32-E72D297353CC}">
              <c16:uniqueId val="{00000008-8406-4251-A5C5-E385CA7E3B7C}"/>
            </c:ext>
          </c:extLst>
        </c:ser>
        <c:dLbls>
          <c:showLegendKey val="0"/>
          <c:showVal val="0"/>
          <c:showCatName val="0"/>
          <c:showSerName val="0"/>
          <c:showPercent val="0"/>
          <c:showBubbleSize val="0"/>
        </c:dLbls>
        <c:axId val="46111232"/>
        <c:axId val="46111792"/>
      </c:radarChart>
      <c:catAx>
        <c:axId val="461112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fr-FR" sz="2000" b="1" i="0" u="none" strike="noStrike" kern="1200" baseline="0">
                <a:solidFill>
                  <a:schemeClr val="tx1">
                    <a:lumMod val="65000"/>
                    <a:lumOff val="35000"/>
                  </a:schemeClr>
                </a:solidFill>
                <a:latin typeface="+mn-lt"/>
                <a:ea typeface="+mn-ea"/>
                <a:cs typeface="+mn-cs"/>
              </a:defRPr>
            </a:pPr>
            <a:endParaRPr lang="fr-FR"/>
          </a:p>
        </c:txPr>
        <c:crossAx val="46111792"/>
        <c:crosses val="autoZero"/>
        <c:auto val="1"/>
        <c:lblAlgn val="ctr"/>
        <c:lblOffset val="100"/>
        <c:noMultiLvlLbl val="0"/>
      </c:catAx>
      <c:valAx>
        <c:axId val="4611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fr-FR" sz="1600" b="0" i="0" u="none" strike="noStrike" kern="1200" baseline="0">
                <a:solidFill>
                  <a:schemeClr val="tx1">
                    <a:lumMod val="65000"/>
                    <a:lumOff val="35000"/>
                  </a:schemeClr>
                </a:solidFill>
                <a:latin typeface="+mn-lt"/>
                <a:ea typeface="+mn-ea"/>
                <a:cs typeface="+mn-cs"/>
              </a:defRPr>
            </a:pPr>
            <a:endParaRPr lang="fr-FR"/>
          </a:p>
        </c:txPr>
        <c:crossAx val="46111232"/>
        <c:crosses val="autoZero"/>
        <c:crossBetween val="between"/>
      </c:valAx>
      <c:spPr>
        <a:noFill/>
        <a:ln>
          <a:noFill/>
        </a:ln>
        <a:effectLst/>
      </c:spPr>
    </c:plotArea>
    <c:legend>
      <c:legendPos val="t"/>
      <c:legendEntry>
        <c:idx val="0"/>
        <c:txPr>
          <a:bodyPr rot="0" spcFirstLastPara="0" vertOverflow="ellipsis" vert="horz" wrap="square" anchor="ctr" anchorCtr="1"/>
          <a:lstStyle/>
          <a:p>
            <a:pPr>
              <a:defRPr lang="fr-FR" sz="1800" b="0" i="0" u="none" strike="noStrike" kern="1200" baseline="0">
                <a:solidFill>
                  <a:schemeClr val="tx1">
                    <a:lumMod val="65000"/>
                    <a:lumOff val="35000"/>
                  </a:schemeClr>
                </a:solidFill>
                <a:latin typeface="+mn-lt"/>
                <a:ea typeface="+mn-ea"/>
                <a:cs typeface="+mn-cs"/>
              </a:defRPr>
            </a:pPr>
            <a:endParaRPr lang="fr-FR"/>
          </a:p>
        </c:txPr>
      </c:legendEntry>
      <c:legendEntry>
        <c:idx val="1"/>
        <c:txPr>
          <a:bodyPr rot="0" spcFirstLastPara="0" vertOverflow="ellipsis" vert="horz" wrap="square" anchor="ctr" anchorCtr="1"/>
          <a:lstStyle/>
          <a:p>
            <a:pPr>
              <a:defRPr lang="fr-FR" sz="1800" b="0" i="0" u="none" strike="noStrike" kern="1200" baseline="0">
                <a:solidFill>
                  <a:schemeClr val="tx1">
                    <a:lumMod val="65000"/>
                    <a:lumOff val="35000"/>
                  </a:schemeClr>
                </a:solidFill>
                <a:latin typeface="+mn-lt"/>
                <a:ea typeface="+mn-ea"/>
                <a:cs typeface="+mn-cs"/>
              </a:defRPr>
            </a:pPr>
            <a:endParaRPr lang="fr-FR"/>
          </a:p>
        </c:txPr>
      </c:legendEntry>
      <c:layout>
        <c:manualLayout>
          <c:xMode val="edge"/>
          <c:yMode val="edge"/>
          <c:x val="0.35385983021602402"/>
          <c:y val="0.936396286924284"/>
        </c:manualLayout>
      </c:layout>
      <c:overlay val="0"/>
      <c:spPr>
        <a:noFill/>
        <a:ln>
          <a:noFill/>
        </a:ln>
        <a:effectLst/>
      </c:spPr>
      <c:txPr>
        <a:bodyPr rot="0" spcFirstLastPara="0" vertOverflow="ellipsis" vert="horz" wrap="square" anchor="ctr" anchorCtr="1"/>
        <a:lstStyle/>
        <a:p>
          <a:pPr>
            <a:defRPr lang="fr-FR" sz="18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fr-F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chart" Target="../charts/chart2.xml"/><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3.xml"/><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23</xdr:col>
      <xdr:colOff>15240</xdr:colOff>
      <xdr:row>3</xdr:row>
      <xdr:rowOff>86995</xdr:rowOff>
    </xdr:from>
    <xdr:to>
      <xdr:col>31</xdr:col>
      <xdr:colOff>281940</xdr:colOff>
      <xdr:row>19</xdr:row>
      <xdr:rowOff>573405</xdr:rowOff>
    </xdr:to>
    <xdr:pic>
      <xdr:nvPicPr>
        <xdr:cNvPr id="3" name="Image 1" descr="smiley-clipart-green-5">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9835515" y="1013460"/>
          <a:ext cx="3162300" cy="3077210"/>
        </a:xfrm>
        <a:prstGeom prst="rect">
          <a:avLst/>
        </a:prstGeom>
        <a:noFill/>
        <a:ln w="9525">
          <a:noFill/>
        </a:ln>
      </xdr:spPr>
    </xdr:pic>
    <xdr:clientData/>
  </xdr:twoCellAnchor>
  <xdr:twoCellAnchor>
    <xdr:from>
      <xdr:col>1</xdr:col>
      <xdr:colOff>66675</xdr:colOff>
      <xdr:row>0</xdr:row>
      <xdr:rowOff>134620</xdr:rowOff>
    </xdr:from>
    <xdr:to>
      <xdr:col>5</xdr:col>
      <xdr:colOff>400685</xdr:colOff>
      <xdr:row>1</xdr:row>
      <xdr:rowOff>38100</xdr:rowOff>
    </xdr:to>
    <xdr:pic>
      <xdr:nvPicPr>
        <xdr:cNvPr id="4" name="Image 2">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381000" y="134620"/>
          <a:ext cx="1781810" cy="487045"/>
        </a:xfrm>
        <a:prstGeom prst="rect">
          <a:avLst/>
        </a:prstGeom>
        <a:noFill/>
        <a:ln w="9525">
          <a:noFill/>
        </a:ln>
      </xdr:spPr>
    </xdr:pic>
    <xdr:clientData/>
  </xdr:twoCellAnchor>
  <xdr:twoCellAnchor>
    <xdr:from>
      <xdr:col>1</xdr:col>
      <xdr:colOff>95885</xdr:colOff>
      <xdr:row>3</xdr:row>
      <xdr:rowOff>108585</xdr:rowOff>
    </xdr:from>
    <xdr:to>
      <xdr:col>22</xdr:col>
      <xdr:colOff>205105</xdr:colOff>
      <xdr:row>34</xdr:row>
      <xdr:rowOff>106045</xdr:rowOff>
    </xdr:to>
    <xdr:graphicFrame macro="">
      <xdr:nvGraphicFramePr>
        <xdr:cNvPr id="6" name="Graphique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0</xdr:row>
      <xdr:rowOff>134620</xdr:rowOff>
    </xdr:from>
    <xdr:to>
      <xdr:col>5</xdr:col>
      <xdr:colOff>400685</xdr:colOff>
      <xdr:row>1</xdr:row>
      <xdr:rowOff>38100</xdr:rowOff>
    </xdr:to>
    <xdr:pic>
      <xdr:nvPicPr>
        <xdr:cNvPr id="3" name="Imag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81000" y="134620"/>
          <a:ext cx="1781810" cy="487045"/>
        </a:xfrm>
        <a:prstGeom prst="rect">
          <a:avLst/>
        </a:prstGeom>
        <a:noFill/>
        <a:ln w="9525">
          <a:noFill/>
        </a:ln>
      </xdr:spPr>
    </xdr:pic>
    <xdr:clientData/>
  </xdr:twoCellAnchor>
  <xdr:twoCellAnchor>
    <xdr:from>
      <xdr:col>1</xdr:col>
      <xdr:colOff>95885</xdr:colOff>
      <xdr:row>3</xdr:row>
      <xdr:rowOff>108585</xdr:rowOff>
    </xdr:from>
    <xdr:to>
      <xdr:col>22</xdr:col>
      <xdr:colOff>205105</xdr:colOff>
      <xdr:row>34</xdr:row>
      <xdr:rowOff>106045</xdr:rowOff>
    </xdr:to>
    <xdr:graphicFrame macro="">
      <xdr:nvGraphicFramePr>
        <xdr:cNvPr id="4" name="Graphique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48260</xdr:colOff>
      <xdr:row>4</xdr:row>
      <xdr:rowOff>99695</xdr:rowOff>
    </xdr:from>
    <xdr:to>
      <xdr:col>31</xdr:col>
      <xdr:colOff>90805</xdr:colOff>
      <xdr:row>19</xdr:row>
      <xdr:rowOff>443865</xdr:rowOff>
    </xdr:to>
    <xdr:pic>
      <xdr:nvPicPr>
        <xdr:cNvPr id="5" name="Image 1" descr="images">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9868535" y="1188085"/>
          <a:ext cx="2938145" cy="2773045"/>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66675</xdr:colOff>
      <xdr:row>0</xdr:row>
      <xdr:rowOff>134620</xdr:rowOff>
    </xdr:from>
    <xdr:to>
      <xdr:col>5</xdr:col>
      <xdr:colOff>400685</xdr:colOff>
      <xdr:row>1</xdr:row>
      <xdr:rowOff>38100</xdr:rowOff>
    </xdr:to>
    <xdr:pic>
      <xdr:nvPicPr>
        <xdr:cNvPr id="3" name="Imag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381000" y="134620"/>
          <a:ext cx="1781810" cy="487045"/>
        </a:xfrm>
        <a:prstGeom prst="rect">
          <a:avLst/>
        </a:prstGeom>
        <a:noFill/>
        <a:ln w="9525">
          <a:noFill/>
        </a:ln>
      </xdr:spPr>
    </xdr:pic>
    <xdr:clientData/>
  </xdr:twoCellAnchor>
  <xdr:twoCellAnchor>
    <xdr:from>
      <xdr:col>1</xdr:col>
      <xdr:colOff>95885</xdr:colOff>
      <xdr:row>3</xdr:row>
      <xdr:rowOff>125730</xdr:rowOff>
    </xdr:from>
    <xdr:to>
      <xdr:col>22</xdr:col>
      <xdr:colOff>205105</xdr:colOff>
      <xdr:row>34</xdr:row>
      <xdr:rowOff>123190</xdr:rowOff>
    </xdr:to>
    <xdr:graphicFrame macro="">
      <xdr:nvGraphicFramePr>
        <xdr:cNvPr id="4" name="Graphique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306070</xdr:colOff>
      <xdr:row>4</xdr:row>
      <xdr:rowOff>115570</xdr:rowOff>
    </xdr:from>
    <xdr:to>
      <xdr:col>31</xdr:col>
      <xdr:colOff>135890</xdr:colOff>
      <xdr:row>19</xdr:row>
      <xdr:rowOff>528320</xdr:rowOff>
    </xdr:to>
    <xdr:pic>
      <xdr:nvPicPr>
        <xdr:cNvPr id="5" name="Image 1" descr="ae-smiley-émoticône-clipart-cartoon-visage-orange-content-fond-transparent-gratuit-la-collection-à-télécharger">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10126345" y="1203960"/>
          <a:ext cx="2725420" cy="284162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4_007\Downloads\Revues%20processus_Avril%202018_V1.2_Mam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ues processus"/>
      <sheetName val="HK"/>
      <sheetName val="Objectif"/>
      <sheetName val="Affichage_Obj"/>
      <sheetName val="Qualité"/>
      <sheetName val="Affichage_Qualité"/>
      <sheetName val="Gain Prod"/>
      <sheetName val="Affichage_Gain"/>
      <sheetName val="LEAN"/>
      <sheetName val="Application du LEAN"/>
      <sheetName val="Gestion Risque"/>
      <sheetName val="Suivi Formation LEAN"/>
      <sheetName val="Matrix"/>
      <sheetName val="Doc"/>
      <sheetName val="Chanti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
  <sheetViews>
    <sheetView showGridLines="0" zoomScale="55" zoomScaleNormal="55" workbookViewId="0">
      <selection activeCell="X36" sqref="X36:AF38"/>
    </sheetView>
  </sheetViews>
  <sheetFormatPr baseColWidth="10" defaultColWidth="9.140625" defaultRowHeight="12.75"/>
  <cols>
    <col min="1" max="1" width="4.7109375" style="84" customWidth="1"/>
    <col min="2" max="5" width="5.42578125" style="84" customWidth="1"/>
    <col min="6" max="6" width="12.140625" style="84" customWidth="1"/>
    <col min="7" max="7" width="1.7109375" style="84" customWidth="1"/>
    <col min="8" max="8" width="5.42578125" style="84" hidden="1" customWidth="1"/>
    <col min="9" max="9" width="31" style="84" customWidth="1"/>
    <col min="10" max="12" width="5.42578125" style="84" customWidth="1"/>
    <col min="13" max="21" width="5.42578125" style="85" customWidth="1"/>
    <col min="22" max="35" width="5.42578125" style="84" customWidth="1"/>
    <col min="36" max="36" width="1.42578125" style="84" customWidth="1"/>
    <col min="37" max="37" width="24.42578125" style="84" customWidth="1"/>
    <col min="38" max="38" width="15" style="84" customWidth="1"/>
    <col min="39" max="39" width="23.140625" style="84" customWidth="1"/>
    <col min="40" max="40" width="5.42578125" style="84" customWidth="1"/>
    <col min="41" max="42" width="9.140625" style="84"/>
    <col min="43" max="43" width="13.85546875" style="84"/>
    <col min="44" max="46" width="9.140625" style="84"/>
    <col min="47" max="47" width="17.28515625" style="84"/>
    <col min="48" max="16384" width="9.140625" style="84"/>
  </cols>
  <sheetData>
    <row r="1" spans="1:39" ht="45.95" customHeight="1">
      <c r="A1" s="126"/>
      <c r="B1" s="126"/>
      <c r="C1" s="126"/>
      <c r="D1" s="126"/>
      <c r="F1" s="86"/>
      <c r="G1" s="87"/>
      <c r="H1" s="87"/>
      <c r="I1" s="93" t="s">
        <v>0</v>
      </c>
      <c r="J1" s="87"/>
      <c r="K1" s="87"/>
      <c r="L1" s="87"/>
      <c r="M1" s="87"/>
      <c r="N1" s="87"/>
      <c r="O1" s="87"/>
      <c r="P1" s="87"/>
      <c r="Q1" s="87"/>
      <c r="R1" s="87"/>
      <c r="S1" s="87"/>
      <c r="T1" s="87"/>
      <c r="U1" s="87"/>
      <c r="V1" s="87"/>
      <c r="W1" s="87"/>
      <c r="X1" s="87"/>
      <c r="Y1" s="105"/>
      <c r="Z1" s="105"/>
      <c r="AA1" s="105"/>
      <c r="AB1" s="105"/>
      <c r="AC1" s="105"/>
      <c r="AD1" s="105"/>
      <c r="AE1" s="105"/>
      <c r="AF1" s="105"/>
      <c r="AG1" s="105"/>
    </row>
    <row r="3" spans="1:39">
      <c r="R3" s="84"/>
      <c r="S3" s="84"/>
      <c r="V3" s="85"/>
      <c r="W3" s="85"/>
      <c r="X3" s="85"/>
      <c r="Y3" s="85"/>
      <c r="Z3" s="85"/>
      <c r="AA3" s="85"/>
      <c r="AB3" s="85"/>
      <c r="AC3" s="85"/>
      <c r="AD3" s="85"/>
      <c r="AE3" s="85"/>
      <c r="AF3" s="85"/>
      <c r="AL3" s="11" t="s">
        <v>1</v>
      </c>
      <c r="AM3" s="11" t="s">
        <v>2</v>
      </c>
    </row>
    <row r="4" spans="1:39">
      <c r="B4" s="88"/>
      <c r="C4" s="89"/>
      <c r="D4" s="89"/>
      <c r="E4" s="89"/>
      <c r="F4" s="89"/>
      <c r="G4" s="89"/>
      <c r="H4" s="89"/>
      <c r="I4" s="89"/>
      <c r="J4" s="89"/>
      <c r="K4" s="89"/>
      <c r="L4" s="89"/>
      <c r="M4" s="94"/>
      <c r="N4" s="94"/>
      <c r="O4" s="94"/>
      <c r="P4" s="94"/>
      <c r="Q4" s="94"/>
      <c r="R4" s="89"/>
      <c r="S4" s="89"/>
      <c r="T4" s="94"/>
      <c r="U4" s="94"/>
      <c r="V4" s="94"/>
      <c r="W4" s="96"/>
      <c r="X4" s="97"/>
      <c r="Y4" s="94"/>
      <c r="Z4" s="94"/>
      <c r="AA4" s="94"/>
      <c r="AB4" s="94"/>
      <c r="AC4" s="94"/>
      <c r="AD4" s="94"/>
      <c r="AE4" s="94"/>
      <c r="AF4" s="96"/>
      <c r="AK4" s="106" t="s">
        <v>3</v>
      </c>
      <c r="AL4" s="15">
        <v>0.25</v>
      </c>
      <c r="AM4" s="107">
        <f>PROD!E9</f>
        <v>0.77442123711340205</v>
      </c>
    </row>
    <row r="5" spans="1:39">
      <c r="B5" s="90"/>
      <c r="R5" s="84"/>
      <c r="S5" s="84"/>
      <c r="V5" s="85"/>
      <c r="W5" s="98"/>
      <c r="X5" s="99"/>
      <c r="Y5" s="85"/>
      <c r="Z5" s="85"/>
      <c r="AA5" s="85"/>
      <c r="AB5" s="85"/>
      <c r="AC5" s="85"/>
      <c r="AD5" s="85"/>
      <c r="AE5" s="85"/>
      <c r="AF5" s="98"/>
      <c r="AK5" s="106" t="s">
        <v>4</v>
      </c>
      <c r="AL5" s="15">
        <v>0.25</v>
      </c>
      <c r="AM5" s="107">
        <f>'M&amp;Q'!E10</f>
        <v>0.94660064148466405</v>
      </c>
    </row>
    <row r="6" spans="1:39">
      <c r="B6" s="90"/>
      <c r="R6" s="84"/>
      <c r="S6" s="84"/>
      <c r="V6" s="85"/>
      <c r="W6" s="98"/>
      <c r="X6" s="99"/>
      <c r="Y6" s="85"/>
      <c r="Z6" s="85"/>
      <c r="AA6" s="85"/>
      <c r="AB6" s="85"/>
      <c r="AC6" s="85"/>
      <c r="AD6" s="85"/>
      <c r="AE6" s="85"/>
      <c r="AF6" s="98"/>
      <c r="AK6" s="106" t="s">
        <v>5</v>
      </c>
      <c r="AL6" s="15">
        <v>0.25</v>
      </c>
      <c r="AM6" s="107">
        <f>ETUDES!E6</f>
        <v>0.47857142857142859</v>
      </c>
    </row>
    <row r="7" spans="1:39">
      <c r="B7" s="90"/>
      <c r="R7" s="84"/>
      <c r="S7" s="84"/>
      <c r="V7" s="85"/>
      <c r="W7" s="98"/>
      <c r="X7" s="99"/>
      <c r="Y7" s="85"/>
      <c r="Z7" s="85"/>
      <c r="AA7" s="85"/>
      <c r="AB7" s="85"/>
      <c r="AC7" s="85"/>
      <c r="AD7" s="85"/>
      <c r="AE7" s="85"/>
      <c r="AF7" s="98"/>
      <c r="AK7" s="106" t="s">
        <v>6</v>
      </c>
      <c r="AL7" s="15">
        <v>0.25</v>
      </c>
      <c r="AM7" s="107">
        <f>DEV!E8</f>
        <v>0.17499999999999999</v>
      </c>
    </row>
    <row r="8" spans="1:39">
      <c r="B8" s="90"/>
      <c r="R8" s="84"/>
      <c r="S8" s="84"/>
      <c r="V8" s="85"/>
      <c r="W8" s="98"/>
      <c r="X8" s="99"/>
      <c r="Y8" s="85"/>
      <c r="Z8" s="85"/>
      <c r="AA8" s="85"/>
      <c r="AB8" s="85"/>
      <c r="AC8" s="85"/>
      <c r="AD8" s="85"/>
      <c r="AE8" s="85"/>
      <c r="AF8" s="98"/>
      <c r="AK8" s="106" t="s">
        <v>7</v>
      </c>
      <c r="AL8" s="15">
        <v>0.25</v>
      </c>
      <c r="AM8" s="107">
        <f>DSI!E9</f>
        <v>0.95252129629629589</v>
      </c>
    </row>
    <row r="9" spans="1:39">
      <c r="B9" s="90"/>
      <c r="R9" s="84"/>
      <c r="S9" s="84"/>
      <c r="V9" s="85"/>
      <c r="W9" s="98"/>
      <c r="X9" s="99"/>
      <c r="Y9" s="85"/>
      <c r="Z9" s="85"/>
      <c r="AA9" s="85"/>
      <c r="AB9" s="85"/>
      <c r="AC9" s="85"/>
      <c r="AD9" s="85"/>
      <c r="AE9" s="85"/>
      <c r="AF9" s="98"/>
      <c r="AK9" s="106" t="s">
        <v>8</v>
      </c>
      <c r="AL9" s="15">
        <v>0.25</v>
      </c>
      <c r="AM9" s="107">
        <f>ADMIN!E11</f>
        <v>0.72733333333333317</v>
      </c>
    </row>
    <row r="10" spans="1:39">
      <c r="B10" s="90"/>
      <c r="R10" s="84"/>
      <c r="S10" s="84"/>
      <c r="V10" s="85"/>
      <c r="W10" s="98"/>
      <c r="X10" s="99"/>
      <c r="Y10" s="85"/>
      <c r="Z10" s="85"/>
      <c r="AA10" s="85"/>
      <c r="AB10" s="85"/>
      <c r="AC10" s="85"/>
      <c r="AD10" s="85"/>
      <c r="AE10" s="85"/>
      <c r="AF10" s="98"/>
      <c r="AK10" s="106" t="s">
        <v>9</v>
      </c>
      <c r="AL10" s="15">
        <v>0.25</v>
      </c>
      <c r="AM10" s="107" t="e">
        <f>RH!#REF!</f>
        <v>#REF!</v>
      </c>
    </row>
    <row r="11" spans="1:39">
      <c r="B11" s="90"/>
      <c r="R11" s="84"/>
      <c r="S11" s="84"/>
      <c r="V11" s="85"/>
      <c r="W11" s="98"/>
      <c r="X11" s="99"/>
      <c r="Y11" s="85"/>
      <c r="Z11" s="85"/>
      <c r="AA11" s="85"/>
      <c r="AB11" s="85"/>
      <c r="AC11" s="85"/>
      <c r="AD11" s="85"/>
      <c r="AE11" s="85"/>
      <c r="AF11" s="98"/>
      <c r="AK11" s="106" t="s">
        <v>10</v>
      </c>
      <c r="AL11" s="15">
        <v>0.25</v>
      </c>
      <c r="AM11" s="107" t="e">
        <f>SG!#REF!</f>
        <v>#REF!</v>
      </c>
    </row>
    <row r="12" spans="1:39">
      <c r="B12" s="90"/>
      <c r="R12" s="84"/>
      <c r="S12" s="84"/>
      <c r="V12" s="85"/>
      <c r="W12" s="98"/>
      <c r="X12" s="99"/>
      <c r="Y12" s="85"/>
      <c r="Z12" s="85"/>
      <c r="AA12" s="85"/>
      <c r="AB12" s="85"/>
      <c r="AC12" s="85"/>
      <c r="AD12" s="85"/>
      <c r="AE12" s="85"/>
      <c r="AF12" s="98"/>
      <c r="AK12" s="106" t="s">
        <v>11</v>
      </c>
      <c r="AL12" s="15">
        <v>0.25</v>
      </c>
      <c r="AM12" s="108" t="e">
        <f>('M&amp;Q'!H10+PROD!H9+ETUDES!H6+DEV!H8+DSI!H9+RH!#REF!+ADMIN!H11+SG!#REF!)/('M&amp;Q'!G10+PROD!G9+ETUDES!G6+DEV!G8+DSI!G9+RH!#REF!+ADMIN!G11+SG!#REF!)</f>
        <v>#REF!</v>
      </c>
    </row>
    <row r="13" spans="1:39">
      <c r="B13" s="90"/>
      <c r="R13" s="84"/>
      <c r="S13" s="84"/>
      <c r="V13" s="85"/>
      <c r="W13" s="98"/>
      <c r="X13" s="99"/>
      <c r="Y13" s="85"/>
      <c r="Z13" s="85"/>
      <c r="AA13" s="85"/>
      <c r="AB13" s="85"/>
      <c r="AC13" s="85"/>
      <c r="AD13" s="85"/>
      <c r="AE13" s="85"/>
      <c r="AF13" s="98"/>
    </row>
    <row r="14" spans="1:39">
      <c r="B14" s="90"/>
      <c r="R14" s="84"/>
      <c r="S14" s="84"/>
      <c r="V14" s="85"/>
      <c r="W14" s="98"/>
      <c r="X14" s="99"/>
      <c r="Y14" s="85"/>
      <c r="Z14" s="85"/>
      <c r="AA14" s="85"/>
      <c r="AB14" s="85"/>
      <c r="AC14" s="85"/>
      <c r="AD14" s="85"/>
      <c r="AE14" s="85"/>
      <c r="AF14" s="98"/>
    </row>
    <row r="15" spans="1:39">
      <c r="B15" s="90"/>
      <c r="R15" s="84"/>
      <c r="S15" s="84"/>
      <c r="V15" s="85"/>
      <c r="W15" s="98"/>
      <c r="X15" s="99"/>
      <c r="Y15" s="85"/>
      <c r="Z15" s="85"/>
      <c r="AA15" s="85"/>
      <c r="AB15" s="85"/>
      <c r="AC15" s="85"/>
      <c r="AD15" s="85"/>
      <c r="AE15" s="85"/>
      <c r="AF15" s="98"/>
    </row>
    <row r="16" spans="1:39">
      <c r="B16" s="90"/>
      <c r="W16" s="100"/>
      <c r="X16" s="90"/>
      <c r="AF16" s="100"/>
    </row>
    <row r="17" spans="2:33">
      <c r="B17" s="90"/>
      <c r="W17" s="100"/>
      <c r="X17" s="90"/>
      <c r="AF17" s="100"/>
    </row>
    <row r="18" spans="2:33">
      <c r="B18" s="90"/>
      <c r="W18" s="100"/>
      <c r="X18" s="90"/>
      <c r="AF18" s="100"/>
    </row>
    <row r="19" spans="2:33">
      <c r="B19" s="90"/>
      <c r="W19" s="100"/>
      <c r="X19" s="90"/>
      <c r="AF19" s="100"/>
    </row>
    <row r="20" spans="2:33" ht="60" customHeight="1">
      <c r="B20" s="90"/>
      <c r="Q20" s="101"/>
      <c r="W20" s="100"/>
      <c r="X20" s="91"/>
      <c r="Y20" s="92"/>
      <c r="Z20" s="92"/>
      <c r="AA20" s="92"/>
      <c r="AB20" s="92"/>
      <c r="AC20" s="92"/>
      <c r="AD20" s="92"/>
      <c r="AE20" s="92"/>
      <c r="AF20" s="104"/>
    </row>
    <row r="21" spans="2:33" ht="26.25">
      <c r="B21" s="90"/>
      <c r="S21" s="102"/>
      <c r="T21" s="102"/>
      <c r="U21" s="102"/>
      <c r="V21" s="102"/>
      <c r="W21" s="103"/>
      <c r="X21" s="139" t="s">
        <v>12</v>
      </c>
      <c r="Y21" s="140"/>
      <c r="Z21" s="140"/>
      <c r="AA21" s="140"/>
      <c r="AB21" s="140"/>
      <c r="AC21" s="140"/>
      <c r="AD21" s="140"/>
      <c r="AE21" s="140"/>
      <c r="AF21" s="141"/>
      <c r="AG21" s="102"/>
    </row>
    <row r="22" spans="2:33" ht="27" customHeight="1">
      <c r="B22" s="90"/>
      <c r="W22" s="100"/>
      <c r="X22" s="142"/>
      <c r="Y22" s="143"/>
      <c r="Z22" s="143"/>
      <c r="AA22" s="143"/>
      <c r="AB22" s="143"/>
      <c r="AC22" s="143"/>
      <c r="AD22" s="143"/>
      <c r="AE22" s="143"/>
      <c r="AF22" s="144"/>
      <c r="AG22" s="109"/>
    </row>
    <row r="23" spans="2:33" ht="31.7" customHeight="1">
      <c r="B23" s="90"/>
      <c r="W23" s="100"/>
      <c r="X23" s="127" t="s">
        <v>13</v>
      </c>
      <c r="Y23" s="128"/>
      <c r="Z23" s="128"/>
      <c r="AA23" s="128"/>
      <c r="AB23" s="128"/>
      <c r="AC23" s="128"/>
      <c r="AD23" s="128"/>
      <c r="AE23" s="128"/>
      <c r="AF23" s="129"/>
      <c r="AG23" s="101"/>
    </row>
    <row r="24" spans="2:33" ht="31.7" customHeight="1">
      <c r="B24" s="90"/>
      <c r="W24" s="100"/>
      <c r="X24" s="145">
        <v>0.25</v>
      </c>
      <c r="Y24" s="146"/>
      <c r="Z24" s="146"/>
      <c r="AA24" s="146"/>
      <c r="AB24" s="146"/>
      <c r="AC24" s="146"/>
      <c r="AD24" s="146"/>
      <c r="AE24" s="146"/>
      <c r="AF24" s="147"/>
      <c r="AG24" s="101"/>
    </row>
    <row r="25" spans="2:33" ht="24.95" customHeight="1">
      <c r="B25" s="90"/>
      <c r="W25" s="100"/>
      <c r="X25" s="145"/>
      <c r="Y25" s="146"/>
      <c r="Z25" s="146"/>
      <c r="AA25" s="146"/>
      <c r="AB25" s="146"/>
      <c r="AC25" s="146"/>
      <c r="AD25" s="146"/>
      <c r="AE25" s="146"/>
      <c r="AF25" s="147"/>
    </row>
    <row r="26" spans="2:33" ht="27" customHeight="1">
      <c r="B26" s="90"/>
      <c r="W26" s="100"/>
      <c r="X26" s="145"/>
      <c r="Y26" s="146"/>
      <c r="Z26" s="146"/>
      <c r="AA26" s="146"/>
      <c r="AB26" s="146"/>
      <c r="AC26" s="146"/>
      <c r="AD26" s="146"/>
      <c r="AE26" s="146"/>
      <c r="AF26" s="147"/>
    </row>
    <row r="27" spans="2:33" ht="27" customHeight="1">
      <c r="B27" s="90"/>
      <c r="W27" s="100"/>
      <c r="X27" s="130" t="s">
        <v>14</v>
      </c>
      <c r="Y27" s="131"/>
      <c r="Z27" s="131"/>
      <c r="AA27" s="131"/>
      <c r="AB27" s="131"/>
      <c r="AC27" s="131"/>
      <c r="AD27" s="131"/>
      <c r="AE27" s="131"/>
      <c r="AF27" s="132"/>
    </row>
    <row r="28" spans="2:33" ht="27" customHeight="1">
      <c r="B28" s="90"/>
      <c r="W28" s="100"/>
      <c r="X28" s="133">
        <v>0.5</v>
      </c>
      <c r="Y28" s="134"/>
      <c r="Z28" s="134"/>
      <c r="AA28" s="134"/>
      <c r="AB28" s="134"/>
      <c r="AC28" s="134"/>
      <c r="AD28" s="134"/>
      <c r="AE28" s="134"/>
      <c r="AF28" s="135"/>
    </row>
    <row r="29" spans="2:33">
      <c r="B29" s="90"/>
      <c r="W29" s="100"/>
      <c r="X29" s="133"/>
      <c r="Y29" s="134"/>
      <c r="Z29" s="134"/>
      <c r="AA29" s="134"/>
      <c r="AB29" s="134"/>
      <c r="AC29" s="134"/>
      <c r="AD29" s="134"/>
      <c r="AE29" s="134"/>
      <c r="AF29" s="135"/>
    </row>
    <row r="30" spans="2:33" ht="27" customHeight="1">
      <c r="B30" s="90"/>
      <c r="W30" s="100"/>
      <c r="X30" s="133"/>
      <c r="Y30" s="134"/>
      <c r="Z30" s="134"/>
      <c r="AA30" s="134"/>
      <c r="AB30" s="134"/>
      <c r="AC30" s="134"/>
      <c r="AD30" s="134"/>
      <c r="AE30" s="134"/>
      <c r="AF30" s="135"/>
    </row>
    <row r="31" spans="2:33" ht="27" customHeight="1">
      <c r="B31" s="90"/>
      <c r="W31" s="100"/>
      <c r="X31" s="130" t="s">
        <v>15</v>
      </c>
      <c r="Y31" s="131"/>
      <c r="Z31" s="131"/>
      <c r="AA31" s="131"/>
      <c r="AB31" s="131"/>
      <c r="AC31" s="131"/>
      <c r="AD31" s="131"/>
      <c r="AE31" s="131"/>
      <c r="AF31" s="132"/>
    </row>
    <row r="32" spans="2:33" ht="27" customHeight="1">
      <c r="B32" s="90"/>
      <c r="W32" s="100"/>
      <c r="X32" s="133">
        <v>0.75</v>
      </c>
      <c r="Y32" s="134"/>
      <c r="Z32" s="134"/>
      <c r="AA32" s="134"/>
      <c r="AB32" s="134"/>
      <c r="AC32" s="134"/>
      <c r="AD32" s="134"/>
      <c r="AE32" s="134"/>
      <c r="AF32" s="135"/>
    </row>
    <row r="33" spans="2:32">
      <c r="B33" s="90"/>
      <c r="W33" s="100"/>
      <c r="X33" s="133"/>
      <c r="Y33" s="134"/>
      <c r="Z33" s="134"/>
      <c r="AA33" s="134"/>
      <c r="AB33" s="134"/>
      <c r="AC33" s="134"/>
      <c r="AD33" s="134"/>
      <c r="AE33" s="134"/>
      <c r="AF33" s="135"/>
    </row>
    <row r="34" spans="2:32" ht="27" customHeight="1">
      <c r="B34" s="90"/>
      <c r="W34" s="100"/>
      <c r="X34" s="133"/>
      <c r="Y34" s="134"/>
      <c r="Z34" s="134"/>
      <c r="AA34" s="134"/>
      <c r="AB34" s="134"/>
      <c r="AC34" s="134"/>
      <c r="AD34" s="134"/>
      <c r="AE34" s="134"/>
      <c r="AF34" s="135"/>
    </row>
    <row r="35" spans="2:32" ht="27" customHeight="1">
      <c r="B35" s="90"/>
      <c r="W35" s="100"/>
      <c r="X35" s="130" t="s">
        <v>16</v>
      </c>
      <c r="Y35" s="131"/>
      <c r="Z35" s="131"/>
      <c r="AA35" s="131"/>
      <c r="AB35" s="131"/>
      <c r="AC35" s="131"/>
      <c r="AD35" s="131"/>
      <c r="AE35" s="131"/>
      <c r="AF35" s="132"/>
    </row>
    <row r="36" spans="2:32" ht="27" customHeight="1">
      <c r="B36" s="90"/>
      <c r="W36" s="100"/>
      <c r="X36" s="133">
        <v>1</v>
      </c>
      <c r="Y36" s="134"/>
      <c r="Z36" s="134"/>
      <c r="AA36" s="134"/>
      <c r="AB36" s="134"/>
      <c r="AC36" s="134"/>
      <c r="AD36" s="134"/>
      <c r="AE36" s="134"/>
      <c r="AF36" s="135"/>
    </row>
    <row r="37" spans="2:32" ht="27" customHeight="1">
      <c r="B37" s="90"/>
      <c r="W37" s="100"/>
      <c r="X37" s="133"/>
      <c r="Y37" s="134"/>
      <c r="Z37" s="134"/>
      <c r="AA37" s="134"/>
      <c r="AB37" s="134"/>
      <c r="AC37" s="134"/>
      <c r="AD37" s="134"/>
      <c r="AE37" s="134"/>
      <c r="AF37" s="135"/>
    </row>
    <row r="38" spans="2:32" ht="27" customHeight="1">
      <c r="B38" s="91"/>
      <c r="C38" s="92"/>
      <c r="D38" s="92"/>
      <c r="E38" s="92"/>
      <c r="F38" s="92"/>
      <c r="G38" s="92"/>
      <c r="H38" s="92"/>
      <c r="I38" s="92"/>
      <c r="J38" s="92"/>
      <c r="K38" s="92"/>
      <c r="L38" s="92"/>
      <c r="M38" s="95"/>
      <c r="N38" s="95"/>
      <c r="O38" s="95"/>
      <c r="P38" s="95"/>
      <c r="Q38" s="95"/>
      <c r="R38" s="95"/>
      <c r="S38" s="95"/>
      <c r="T38" s="95"/>
      <c r="U38" s="95"/>
      <c r="V38" s="92"/>
      <c r="W38" s="104"/>
      <c r="X38" s="136"/>
      <c r="Y38" s="137"/>
      <c r="Z38" s="137"/>
      <c r="AA38" s="137"/>
      <c r="AB38" s="137"/>
      <c r="AC38" s="137"/>
      <c r="AD38" s="137"/>
      <c r="AE38" s="137"/>
      <c r="AF38" s="138"/>
    </row>
  </sheetData>
  <mergeCells count="10">
    <mergeCell ref="X36:AF38"/>
    <mergeCell ref="X21:AF22"/>
    <mergeCell ref="X24:AF26"/>
    <mergeCell ref="X28:AF30"/>
    <mergeCell ref="X32:AF34"/>
    <mergeCell ref="A1:D1"/>
    <mergeCell ref="X23:AF23"/>
    <mergeCell ref="X27:AF27"/>
    <mergeCell ref="X31:AF31"/>
    <mergeCell ref="X35:AF35"/>
  </mergeCells>
  <conditionalFormatting sqref="AM12">
    <cfRule type="cellIs" dxfId="164" priority="1" operator="greaterThan">
      <formula>0.25</formula>
    </cfRule>
    <cfRule type="cellIs" dxfId="163" priority="2" operator="lessThan">
      <formula>0.25</formula>
    </cfRule>
  </conditionalFormatting>
  <conditionalFormatting sqref="AM4:AM11">
    <cfRule type="cellIs" dxfId="162" priority="3" operator="greaterThan">
      <formula>0.25</formula>
    </cfRule>
    <cfRule type="cellIs" dxfId="161" priority="4" operator="lessThan">
      <formula>0.25</formula>
    </cfRule>
  </conditionalFormatting>
  <pageMargins left="0.34930555555555598" right="0.20902777777777801" top="0.20902777777777801" bottom="0.20902777777777801" header="0.20902777777777801" footer="0.20902777777777801"/>
  <pageSetup paperSize="8"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A22" workbookViewId="0">
      <selection activeCell="M31" sqref="M31"/>
    </sheetView>
  </sheetViews>
  <sheetFormatPr baseColWidth="10" defaultColWidth="9.140625" defaultRowHeight="15"/>
  <cols>
    <col min="1" max="1" width="3.5703125" style="2" customWidth="1"/>
    <col min="2" max="2" width="77.28515625" customWidth="1"/>
    <col min="3" max="3" width="12.5703125" customWidth="1"/>
    <col min="5" max="5" width="11.140625" customWidth="1"/>
    <col min="6" max="6" width="12.28515625" customWidth="1"/>
    <col min="7" max="7" width="9" customWidth="1"/>
    <col min="8" max="8" width="8.7109375" style="3" customWidth="1"/>
    <col min="13" max="13" width="26" customWidth="1"/>
    <col min="14" max="14" width="19.5703125" customWidth="1"/>
    <col min="16" max="16" width="10.28515625" customWidth="1"/>
    <col min="17" max="17" width="15.7109375" customWidth="1"/>
  </cols>
  <sheetData>
    <row r="1" spans="1:17">
      <c r="A1" s="4" t="s">
        <v>19</v>
      </c>
      <c r="B1" s="5"/>
      <c r="C1" s="5"/>
    </row>
    <row r="3" spans="1:17" s="1" customFormat="1" ht="30">
      <c r="A3" s="6" t="s">
        <v>20</v>
      </c>
      <c r="B3" s="7" t="s">
        <v>21</v>
      </c>
      <c r="C3" s="7" t="s">
        <v>22</v>
      </c>
      <c r="D3" s="7" t="s">
        <v>102</v>
      </c>
      <c r="E3" s="7" t="s">
        <v>103</v>
      </c>
      <c r="F3" s="7" t="s">
        <v>25</v>
      </c>
      <c r="G3" s="7" t="s">
        <v>26</v>
      </c>
      <c r="H3" s="8" t="s">
        <v>27</v>
      </c>
      <c r="I3" s="7" t="s">
        <v>28</v>
      </c>
      <c r="J3" s="7" t="s">
        <v>29</v>
      </c>
      <c r="K3" s="7" t="s">
        <v>30</v>
      </c>
      <c r="L3" s="7" t="s">
        <v>31</v>
      </c>
      <c r="M3" s="7" t="s">
        <v>32</v>
      </c>
      <c r="N3" s="7" t="s">
        <v>33</v>
      </c>
      <c r="O3" s="7" t="s">
        <v>34</v>
      </c>
      <c r="P3" s="7" t="s">
        <v>35</v>
      </c>
      <c r="Q3" s="7" t="s">
        <v>36</v>
      </c>
    </row>
    <row r="4" spans="1:17" ht="22.5">
      <c r="A4" s="9" t="s">
        <v>37</v>
      </c>
      <c r="B4" s="37" t="s">
        <v>154</v>
      </c>
      <c r="C4" s="38">
        <v>0.9</v>
      </c>
      <c r="D4" s="38">
        <v>0.9</v>
      </c>
      <c r="E4" s="12">
        <f t="shared" ref="E4:E10" si="0">+IFERROR(AVERAGE(I4:K4),"-")</f>
        <v>0.2</v>
      </c>
      <c r="F4" s="13" t="str">
        <f>IFERROR(IF(E4="-","m",IF(E4&lt;D4,"L","J")),"-")</f>
        <v>L</v>
      </c>
      <c r="G4" s="22">
        <v>15</v>
      </c>
      <c r="H4" s="14">
        <f t="shared" ref="H4:H10" si="1">IFERROR(IF(E4="-","-",IF(E4&gt;D4,G4,G4*E4/D4)),"-")</f>
        <v>3.333333333333333</v>
      </c>
      <c r="I4" s="110" t="s">
        <v>41</v>
      </c>
      <c r="J4" s="15">
        <v>0.2</v>
      </c>
      <c r="K4" s="110" t="s">
        <v>41</v>
      </c>
      <c r="L4" s="11"/>
      <c r="M4" s="28"/>
      <c r="N4" s="28"/>
      <c r="O4" s="28"/>
      <c r="P4" s="28"/>
      <c r="Q4" s="28"/>
    </row>
    <row r="5" spans="1:17" ht="22.5">
      <c r="A5" s="9" t="s">
        <v>39</v>
      </c>
      <c r="B5" s="37" t="s">
        <v>155</v>
      </c>
      <c r="C5" s="22">
        <v>4</v>
      </c>
      <c r="D5" s="22">
        <v>4</v>
      </c>
      <c r="E5" s="39">
        <f t="shared" si="0"/>
        <v>4</v>
      </c>
      <c r="F5" s="13" t="str">
        <f t="shared" ref="F5:F10" si="2">IFERROR(IF(E5="-","m",IF(E5&lt;D5,"L","J")),"-")</f>
        <v>J</v>
      </c>
      <c r="G5" s="22">
        <v>12.5</v>
      </c>
      <c r="H5" s="14">
        <f t="shared" si="1"/>
        <v>12.5</v>
      </c>
      <c r="I5" s="29">
        <v>4</v>
      </c>
      <c r="J5" s="29">
        <v>4</v>
      </c>
      <c r="K5" s="11">
        <v>4</v>
      </c>
      <c r="L5" s="11">
        <v>4</v>
      </c>
      <c r="M5" s="28"/>
      <c r="N5" s="28"/>
      <c r="O5" s="28"/>
      <c r="P5" s="28"/>
      <c r="Q5" s="28"/>
    </row>
    <row r="6" spans="1:17" ht="22.5">
      <c r="A6" s="9" t="s">
        <v>46</v>
      </c>
      <c r="B6" s="37" t="s">
        <v>156</v>
      </c>
      <c r="C6" s="22">
        <v>2</v>
      </c>
      <c r="D6" s="22">
        <v>2</v>
      </c>
      <c r="E6" s="39">
        <f t="shared" si="0"/>
        <v>2</v>
      </c>
      <c r="F6" s="13" t="str">
        <f t="shared" si="2"/>
        <v>J</v>
      </c>
      <c r="G6" s="22">
        <v>12.5</v>
      </c>
      <c r="H6" s="14">
        <f t="shared" si="1"/>
        <v>12.5</v>
      </c>
      <c r="I6" s="29">
        <v>2</v>
      </c>
      <c r="J6" s="29">
        <v>2</v>
      </c>
      <c r="K6" s="29">
        <v>2</v>
      </c>
      <c r="L6" s="29">
        <v>2</v>
      </c>
      <c r="M6" s="28"/>
      <c r="N6" s="28"/>
      <c r="O6" s="28"/>
      <c r="P6" s="28"/>
      <c r="Q6" s="28"/>
    </row>
    <row r="7" spans="1:17" ht="22.5">
      <c r="A7" s="9" t="s">
        <v>50</v>
      </c>
      <c r="B7" s="37" t="s">
        <v>157</v>
      </c>
      <c r="C7" s="38">
        <v>0.9</v>
      </c>
      <c r="D7" s="38">
        <v>0.9</v>
      </c>
      <c r="E7" s="12">
        <f t="shared" si="0"/>
        <v>0.9</v>
      </c>
      <c r="F7" s="13" t="str">
        <f t="shared" si="2"/>
        <v>J</v>
      </c>
      <c r="G7" s="22">
        <v>15</v>
      </c>
      <c r="H7" s="14">
        <f t="shared" si="1"/>
        <v>15</v>
      </c>
      <c r="I7" s="33">
        <v>0.9</v>
      </c>
      <c r="J7" s="33">
        <v>0.9</v>
      </c>
      <c r="K7" s="15">
        <v>0.9</v>
      </c>
      <c r="L7" s="15">
        <v>0.95</v>
      </c>
      <c r="M7" s="28"/>
      <c r="N7" s="28"/>
      <c r="O7" s="28"/>
      <c r="P7" s="28"/>
      <c r="Q7" s="28"/>
    </row>
    <row r="8" spans="1:17" ht="22.5">
      <c r="A8" s="9" t="s">
        <v>55</v>
      </c>
      <c r="B8" s="37" t="s">
        <v>158</v>
      </c>
      <c r="C8" s="40">
        <v>1</v>
      </c>
      <c r="D8" s="40">
        <v>1</v>
      </c>
      <c r="E8" s="16">
        <f t="shared" si="0"/>
        <v>0.96</v>
      </c>
      <c r="F8" s="13" t="str">
        <f t="shared" si="2"/>
        <v>L</v>
      </c>
      <c r="G8" s="22">
        <v>15</v>
      </c>
      <c r="H8" s="14">
        <f t="shared" si="1"/>
        <v>14.399999999999999</v>
      </c>
      <c r="I8" s="33">
        <v>0.95</v>
      </c>
      <c r="J8" s="33">
        <v>0.95</v>
      </c>
      <c r="K8" s="15">
        <v>0.98</v>
      </c>
      <c r="L8" s="15">
        <v>1</v>
      </c>
      <c r="M8" s="28"/>
      <c r="N8" s="28"/>
      <c r="O8" s="28"/>
      <c r="P8" s="28"/>
      <c r="Q8" s="28"/>
    </row>
    <row r="9" spans="1:17" ht="22.5">
      <c r="A9" s="9" t="s">
        <v>58</v>
      </c>
      <c r="B9" s="37" t="s">
        <v>159</v>
      </c>
      <c r="C9" s="22">
        <v>1</v>
      </c>
      <c r="D9" s="22">
        <v>1</v>
      </c>
      <c r="E9" s="16">
        <f t="shared" si="0"/>
        <v>15</v>
      </c>
      <c r="F9" s="13" t="str">
        <f t="shared" si="2"/>
        <v>J</v>
      </c>
      <c r="G9" s="22">
        <v>15</v>
      </c>
      <c r="H9" s="14">
        <f t="shared" si="1"/>
        <v>15</v>
      </c>
      <c r="I9" s="29">
        <v>15</v>
      </c>
      <c r="J9" s="29">
        <v>15</v>
      </c>
      <c r="K9" s="11">
        <v>15</v>
      </c>
      <c r="L9" s="11">
        <v>15</v>
      </c>
      <c r="M9" s="28"/>
      <c r="N9" s="28"/>
      <c r="O9" s="28"/>
      <c r="P9" s="28"/>
      <c r="Q9" s="28"/>
    </row>
    <row r="10" spans="1:17" ht="22.5">
      <c r="A10" s="9" t="s">
        <v>71</v>
      </c>
      <c r="B10" s="37" t="s">
        <v>160</v>
      </c>
      <c r="C10" s="11">
        <v>1</v>
      </c>
      <c r="D10" s="11">
        <v>1</v>
      </c>
      <c r="E10" s="16">
        <f t="shared" si="0"/>
        <v>1</v>
      </c>
      <c r="F10" s="13" t="str">
        <f t="shared" si="2"/>
        <v>J</v>
      </c>
      <c r="G10" s="22">
        <v>15</v>
      </c>
      <c r="H10" s="14">
        <f t="shared" si="1"/>
        <v>15</v>
      </c>
      <c r="I10" s="29">
        <v>1</v>
      </c>
      <c r="J10" s="29">
        <v>1</v>
      </c>
      <c r="K10" s="11">
        <v>1</v>
      </c>
      <c r="L10" s="11"/>
      <c r="M10" s="28"/>
      <c r="N10" s="28"/>
      <c r="O10" s="28"/>
      <c r="P10" s="28"/>
      <c r="Q10" s="28"/>
    </row>
    <row r="11" spans="1:17" ht="22.5">
      <c r="B11" s="17" t="s">
        <v>62</v>
      </c>
      <c r="C11" s="18">
        <v>1</v>
      </c>
      <c r="D11" s="18">
        <v>0.25</v>
      </c>
      <c r="E11" s="19">
        <f>IFERROR(H11/G11,"-")</f>
        <v>0.72733333333333317</v>
      </c>
      <c r="F11" s="13" t="str">
        <f>IF(E11="-","m",IF(E11&lt;D11,"L","J"))</f>
        <v>J</v>
      </c>
      <c r="G11" s="11">
        <f>SUM(G4:G10)</f>
        <v>100</v>
      </c>
      <c r="H11" s="14">
        <f>SUM(H4:H9)</f>
        <v>72.73333333333332</v>
      </c>
    </row>
    <row r="12" spans="1:17">
      <c r="E12" s="20"/>
    </row>
    <row r="13" spans="1:17">
      <c r="A13" s="4" t="s">
        <v>63</v>
      </c>
      <c r="B13" s="5"/>
      <c r="C13" s="5"/>
      <c r="F13" s="20"/>
    </row>
    <row r="15" spans="1:17" ht="30">
      <c r="A15" s="6" t="s">
        <v>20</v>
      </c>
      <c r="B15" s="7" t="s">
        <v>21</v>
      </c>
      <c r="C15" s="7" t="s">
        <v>22</v>
      </c>
      <c r="D15" s="7" t="s">
        <v>23</v>
      </c>
      <c r="E15" s="7" t="s">
        <v>24</v>
      </c>
      <c r="F15" s="7" t="s">
        <v>25</v>
      </c>
      <c r="G15" s="7" t="s">
        <v>26</v>
      </c>
      <c r="H15" s="8" t="s">
        <v>64</v>
      </c>
      <c r="I15" s="7" t="s">
        <v>28</v>
      </c>
      <c r="J15" s="7" t="s">
        <v>29</v>
      </c>
      <c r="K15" s="7" t="s">
        <v>30</v>
      </c>
      <c r="L15" s="7" t="s">
        <v>31</v>
      </c>
      <c r="M15" s="7" t="s">
        <v>32</v>
      </c>
      <c r="N15" s="7" t="s">
        <v>33</v>
      </c>
      <c r="O15" s="7" t="s">
        <v>34</v>
      </c>
      <c r="P15" s="7" t="s">
        <v>35</v>
      </c>
      <c r="Q15" s="7" t="s">
        <v>36</v>
      </c>
    </row>
    <row r="16" spans="1:17" ht="22.5">
      <c r="A16" s="9" t="s">
        <v>37</v>
      </c>
      <c r="B16" s="10" t="s">
        <v>65</v>
      </c>
      <c r="C16" s="21">
        <f>3*20*12</f>
        <v>720</v>
      </c>
      <c r="D16" s="41">
        <f>3*20*4</f>
        <v>240</v>
      </c>
      <c r="E16" s="16">
        <f>SUM(I16:L16)</f>
        <v>32</v>
      </c>
      <c r="F16" s="13" t="str">
        <f t="shared" ref="F16:F23" si="3">IF(E16="-","m",IF(E16&lt;D16,"L","J"))</f>
        <v>L</v>
      </c>
      <c r="G16" s="22">
        <v>20</v>
      </c>
      <c r="H16" s="14">
        <f t="shared" ref="H16:H22" si="4">IFERROR(IF(E16="-","-",IF(E16&gt;D16,G16,G16*E16/D16)),"-")</f>
        <v>2.6666666666666665</v>
      </c>
      <c r="I16" s="110" t="s">
        <v>41</v>
      </c>
      <c r="J16" s="110" t="s">
        <v>41</v>
      </c>
      <c r="K16" s="11">
        <v>26</v>
      </c>
      <c r="L16" s="11">
        <v>6</v>
      </c>
      <c r="M16" s="28"/>
      <c r="N16" s="28"/>
      <c r="O16" s="28"/>
      <c r="P16" s="28"/>
      <c r="Q16" s="28"/>
    </row>
    <row r="17" spans="1:17" ht="22.5">
      <c r="A17" s="9" t="s">
        <v>39</v>
      </c>
      <c r="B17" s="23" t="s">
        <v>66</v>
      </c>
      <c r="C17" s="21"/>
      <c r="D17" s="41"/>
      <c r="E17" s="16"/>
      <c r="F17" s="13"/>
      <c r="G17" s="22"/>
      <c r="H17" s="14"/>
      <c r="I17" s="11"/>
      <c r="J17" s="11"/>
      <c r="K17" s="11"/>
      <c r="L17" s="11">
        <v>11</v>
      </c>
      <c r="M17" s="28"/>
      <c r="N17" s="28"/>
      <c r="O17" s="28"/>
      <c r="P17" s="28"/>
      <c r="Q17" s="28"/>
    </row>
    <row r="18" spans="1:17" ht="22.5">
      <c r="A18" s="9" t="s">
        <v>46</v>
      </c>
      <c r="B18" s="10" t="s">
        <v>67</v>
      </c>
      <c r="C18" s="21">
        <f>C16*90/100</f>
        <v>648</v>
      </c>
      <c r="D18" s="21">
        <f>D16*90/100</f>
        <v>216</v>
      </c>
      <c r="E18" s="16">
        <f>SUM(I18:L18)</f>
        <v>10</v>
      </c>
      <c r="F18" s="13" t="str">
        <f t="shared" si="3"/>
        <v>L</v>
      </c>
      <c r="G18" s="22">
        <v>20</v>
      </c>
      <c r="H18" s="14">
        <f t="shared" si="4"/>
        <v>0.92592592592592593</v>
      </c>
      <c r="I18" s="110" t="s">
        <v>41</v>
      </c>
      <c r="J18" s="110" t="s">
        <v>41</v>
      </c>
      <c r="K18" s="11">
        <v>5</v>
      </c>
      <c r="L18" s="11">
        <v>5</v>
      </c>
      <c r="M18" s="28"/>
      <c r="N18" s="28"/>
      <c r="O18" s="28"/>
      <c r="P18" s="28"/>
      <c r="Q18" s="28"/>
    </row>
    <row r="19" spans="1:17" ht="22.5">
      <c r="A19" s="9" t="s">
        <v>50</v>
      </c>
      <c r="B19" s="10" t="s">
        <v>68</v>
      </c>
      <c r="C19" s="21">
        <f>C18*90/100</f>
        <v>583.20000000000005</v>
      </c>
      <c r="D19" s="21">
        <f>D18*90/100</f>
        <v>194.4</v>
      </c>
      <c r="E19" s="16">
        <f>SUM(I19:L19)</f>
        <v>8</v>
      </c>
      <c r="F19" s="13" t="str">
        <f t="shared" si="3"/>
        <v>L</v>
      </c>
      <c r="G19" s="22">
        <v>20</v>
      </c>
      <c r="H19" s="14">
        <f t="shared" si="4"/>
        <v>0.82304526748971196</v>
      </c>
      <c r="I19" s="110" t="s">
        <v>41</v>
      </c>
      <c r="J19" s="110" t="s">
        <v>41</v>
      </c>
      <c r="K19" s="11">
        <v>4</v>
      </c>
      <c r="L19" s="11">
        <v>4</v>
      </c>
      <c r="M19" s="28"/>
      <c r="N19" s="28"/>
      <c r="O19" s="28"/>
      <c r="P19" s="28"/>
      <c r="Q19" s="28"/>
    </row>
    <row r="20" spans="1:17" ht="22.5">
      <c r="A20" s="9" t="s">
        <v>55</v>
      </c>
      <c r="B20" s="23" t="s">
        <v>69</v>
      </c>
      <c r="C20" s="21"/>
      <c r="D20" s="21"/>
      <c r="E20" s="16"/>
      <c r="F20" s="13"/>
      <c r="G20" s="22"/>
      <c r="H20" s="14"/>
      <c r="I20" s="11"/>
      <c r="J20" s="11"/>
      <c r="K20" s="11"/>
      <c r="L20" s="11">
        <v>0</v>
      </c>
      <c r="M20" s="28"/>
      <c r="N20" s="28"/>
      <c r="O20" s="28"/>
      <c r="P20" s="28"/>
      <c r="Q20" s="28"/>
    </row>
    <row r="21" spans="1:17" ht="22.5">
      <c r="A21" s="9" t="s">
        <v>58</v>
      </c>
      <c r="B21" s="25" t="s">
        <v>70</v>
      </c>
      <c r="C21" s="15">
        <v>0.02</v>
      </c>
      <c r="D21" s="15">
        <v>0.02</v>
      </c>
      <c r="E21" s="12">
        <f>IFERROR(AVERAGE(I21:L21),"-")</f>
        <v>0</v>
      </c>
      <c r="F21" s="13" t="str">
        <f>IF(E21="-","m",IF(E21&lt;D21,"J","L"))</f>
        <v>J</v>
      </c>
      <c r="G21" s="22">
        <v>20</v>
      </c>
      <c r="H21" s="14">
        <f t="shared" si="4"/>
        <v>0</v>
      </c>
      <c r="I21" s="110" t="s">
        <v>41</v>
      </c>
      <c r="J21" s="110" t="s">
        <v>41</v>
      </c>
      <c r="K21" s="15">
        <v>0</v>
      </c>
      <c r="L21" s="15">
        <f>L20/L17</f>
        <v>0</v>
      </c>
      <c r="M21" s="28"/>
      <c r="N21" s="28"/>
      <c r="O21" s="28"/>
      <c r="P21" s="28"/>
      <c r="Q21" s="28"/>
    </row>
    <row r="22" spans="1:17" ht="21" customHeight="1">
      <c r="A22" s="9" t="s">
        <v>71</v>
      </c>
      <c r="B22" s="25" t="s">
        <v>72</v>
      </c>
      <c r="C22" s="18">
        <v>0.98</v>
      </c>
      <c r="D22" s="18">
        <v>0.98</v>
      </c>
      <c r="E22" s="12">
        <f>IFERROR(AVERAGE(I22:L22),"-")</f>
        <v>1</v>
      </c>
      <c r="F22" s="13" t="str">
        <f t="shared" si="3"/>
        <v>J</v>
      </c>
      <c r="G22" s="22">
        <v>20</v>
      </c>
      <c r="H22" s="14">
        <f t="shared" si="4"/>
        <v>20</v>
      </c>
      <c r="I22" s="110" t="s">
        <v>41</v>
      </c>
      <c r="J22" s="110" t="s">
        <v>41</v>
      </c>
      <c r="K22" s="18">
        <v>1</v>
      </c>
      <c r="L22" s="18">
        <v>1</v>
      </c>
      <c r="M22" s="28"/>
      <c r="N22" s="28"/>
      <c r="O22" s="28"/>
      <c r="P22" s="28"/>
      <c r="Q22" s="28"/>
    </row>
    <row r="23" spans="1:17" ht="22.5">
      <c r="B23" s="17" t="s">
        <v>73</v>
      </c>
      <c r="C23" s="18">
        <v>1</v>
      </c>
      <c r="D23" s="18">
        <v>1</v>
      </c>
      <c r="E23" s="19">
        <f>H23/G23</f>
        <v>0.24415637860082307</v>
      </c>
      <c r="F23" s="13" t="str">
        <f t="shared" si="3"/>
        <v>L</v>
      </c>
      <c r="G23" s="11">
        <f>SUM(G15:G22)</f>
        <v>100</v>
      </c>
      <c r="H23" s="14">
        <f>SUM(H16:H22)</f>
        <v>24.415637860082306</v>
      </c>
    </row>
    <row r="25" spans="1:17">
      <c r="A25" s="4" t="s">
        <v>109</v>
      </c>
      <c r="B25" s="5"/>
      <c r="C25" s="5"/>
      <c r="F25" s="20"/>
    </row>
    <row r="27" spans="1:17" ht="30">
      <c r="A27" s="6" t="s">
        <v>20</v>
      </c>
      <c r="B27" s="7" t="s">
        <v>21</v>
      </c>
      <c r="C27" s="7" t="s">
        <v>22</v>
      </c>
      <c r="D27" s="7" t="s">
        <v>102</v>
      </c>
      <c r="E27" s="7" t="s">
        <v>103</v>
      </c>
      <c r="F27" s="7" t="s">
        <v>25</v>
      </c>
      <c r="G27" s="7" t="s">
        <v>26</v>
      </c>
      <c r="H27" s="8" t="s">
        <v>27</v>
      </c>
      <c r="I27" s="7" t="s">
        <v>28</v>
      </c>
      <c r="J27" s="7" t="s">
        <v>29</v>
      </c>
      <c r="K27" s="7" t="s">
        <v>30</v>
      </c>
      <c r="L27" s="7" t="s">
        <v>31</v>
      </c>
      <c r="M27" s="7" t="s">
        <v>32</v>
      </c>
      <c r="N27" s="7" t="s">
        <v>33</v>
      </c>
      <c r="O27" s="7" t="s">
        <v>34</v>
      </c>
      <c r="P27" s="7" t="s">
        <v>35</v>
      </c>
      <c r="Q27" s="7" t="s">
        <v>36</v>
      </c>
    </row>
    <row r="28" spans="1:17" ht="22.5">
      <c r="A28" s="9" t="s">
        <v>37</v>
      </c>
      <c r="B28" s="26" t="s">
        <v>110</v>
      </c>
      <c r="C28" s="27">
        <v>1</v>
      </c>
      <c r="D28" s="27">
        <v>1</v>
      </c>
      <c r="E28" s="12">
        <f t="shared" ref="E28:E36" si="5">IFERROR(AVERAGE(I28:K28),"-")</f>
        <v>1</v>
      </c>
      <c r="F28" s="13" t="str">
        <f t="shared" ref="F28:F37" si="6">IF(E28="-","m",IF(E28&lt;D28,"L","J"))</f>
        <v>J</v>
      </c>
      <c r="G28" s="22">
        <v>20</v>
      </c>
      <c r="H28" s="14">
        <f t="shared" ref="H28:H36" si="7">IF(E28="-","-",IF(E28&gt;D28,G28,G28*E28/D28))</f>
        <v>20</v>
      </c>
      <c r="I28" s="15" t="s">
        <v>41</v>
      </c>
      <c r="J28" s="15">
        <v>1</v>
      </c>
      <c r="K28" s="15">
        <v>1</v>
      </c>
      <c r="L28" s="15">
        <v>1</v>
      </c>
      <c r="M28" s="117" t="s">
        <v>181</v>
      </c>
      <c r="N28" s="28"/>
      <c r="O28" s="28"/>
      <c r="P28" s="28"/>
      <c r="Q28" s="28"/>
    </row>
    <row r="29" spans="1:17" ht="22.5">
      <c r="A29" s="9" t="s">
        <v>39</v>
      </c>
      <c r="B29" s="26" t="s">
        <v>111</v>
      </c>
      <c r="C29" s="27">
        <v>1</v>
      </c>
      <c r="D29" s="27">
        <v>1</v>
      </c>
      <c r="E29" s="12">
        <f t="shared" si="5"/>
        <v>1</v>
      </c>
      <c r="F29" s="13" t="str">
        <f t="shared" si="6"/>
        <v>J</v>
      </c>
      <c r="G29" s="22">
        <v>10</v>
      </c>
      <c r="H29" s="14">
        <f t="shared" si="7"/>
        <v>10</v>
      </c>
      <c r="I29" s="15" t="s">
        <v>41</v>
      </c>
      <c r="J29" s="15">
        <v>1</v>
      </c>
      <c r="K29" s="15" t="s">
        <v>41</v>
      </c>
      <c r="L29" s="15">
        <v>1</v>
      </c>
      <c r="M29" s="15"/>
      <c r="N29" s="28"/>
      <c r="O29" s="28"/>
      <c r="P29" s="28"/>
      <c r="Q29" s="28"/>
    </row>
    <row r="30" spans="1:17" ht="22.5">
      <c r="A30" s="9" t="s">
        <v>46</v>
      </c>
      <c r="B30" s="26" t="s">
        <v>112</v>
      </c>
      <c r="C30" s="27">
        <v>1</v>
      </c>
      <c r="D30" s="27">
        <v>1</v>
      </c>
      <c r="E30" s="12" t="str">
        <f t="shared" si="5"/>
        <v>-</v>
      </c>
      <c r="F30" s="13" t="str">
        <f t="shared" si="6"/>
        <v>m</v>
      </c>
      <c r="G30" s="22">
        <v>10</v>
      </c>
      <c r="H30" s="14" t="str">
        <f t="shared" si="7"/>
        <v>-</v>
      </c>
      <c r="I30" s="15" t="s">
        <v>41</v>
      </c>
      <c r="J30" s="15" t="s">
        <v>41</v>
      </c>
      <c r="K30" s="15" t="s">
        <v>41</v>
      </c>
      <c r="L30" s="15" t="s">
        <v>41</v>
      </c>
      <c r="M30" s="15"/>
      <c r="N30" s="28"/>
      <c r="O30" s="28"/>
      <c r="P30" s="28"/>
      <c r="Q30" s="28"/>
    </row>
    <row r="31" spans="1:17" ht="22.5">
      <c r="A31" s="9" t="s">
        <v>50</v>
      </c>
      <c r="B31" s="26" t="s">
        <v>113</v>
      </c>
      <c r="C31" s="27">
        <v>1</v>
      </c>
      <c r="D31" s="27">
        <v>1</v>
      </c>
      <c r="E31" s="12" t="str">
        <f t="shared" si="5"/>
        <v>-</v>
      </c>
      <c r="F31" s="13" t="str">
        <f t="shared" si="6"/>
        <v>m</v>
      </c>
      <c r="G31" s="22">
        <v>10</v>
      </c>
      <c r="H31" s="14" t="str">
        <f t="shared" si="7"/>
        <v>-</v>
      </c>
      <c r="I31" s="15" t="s">
        <v>41</v>
      </c>
      <c r="J31" s="15" t="s">
        <v>41</v>
      </c>
      <c r="K31" s="15" t="s">
        <v>41</v>
      </c>
      <c r="L31" s="18">
        <v>1</v>
      </c>
      <c r="M31" s="35"/>
      <c r="N31" s="28"/>
      <c r="O31" s="28"/>
      <c r="P31" s="28"/>
      <c r="Q31" s="28"/>
    </row>
    <row r="32" spans="1:17" ht="22.5">
      <c r="A32" s="9" t="s">
        <v>55</v>
      </c>
      <c r="B32" s="26" t="s">
        <v>114</v>
      </c>
      <c r="C32" s="27">
        <v>1</v>
      </c>
      <c r="D32" s="27">
        <v>1</v>
      </c>
      <c r="E32" s="12">
        <f t="shared" si="5"/>
        <v>1</v>
      </c>
      <c r="F32" s="13" t="str">
        <f t="shared" si="6"/>
        <v>J</v>
      </c>
      <c r="G32" s="22">
        <v>10</v>
      </c>
      <c r="H32" s="14">
        <f t="shared" si="7"/>
        <v>10</v>
      </c>
      <c r="I32" s="15" t="s">
        <v>41</v>
      </c>
      <c r="J32" s="42" t="s">
        <v>41</v>
      </c>
      <c r="K32" s="15">
        <v>1</v>
      </c>
      <c r="L32" s="18">
        <v>1</v>
      </c>
      <c r="M32" s="35"/>
      <c r="N32" s="28"/>
      <c r="O32" s="28"/>
      <c r="P32" s="28"/>
      <c r="Q32" s="28"/>
    </row>
    <row r="33" spans="1:17" ht="21" customHeight="1">
      <c r="A33" s="9" t="s">
        <v>58</v>
      </c>
      <c r="B33" s="28" t="s">
        <v>115</v>
      </c>
      <c r="C33" s="27">
        <v>1</v>
      </c>
      <c r="D33" s="27">
        <v>1</v>
      </c>
      <c r="E33" s="12">
        <f t="shared" si="5"/>
        <v>1</v>
      </c>
      <c r="F33" s="13" t="str">
        <f t="shared" si="6"/>
        <v>J</v>
      </c>
      <c r="G33" s="22">
        <v>10</v>
      </c>
      <c r="H33" s="14">
        <f t="shared" si="7"/>
        <v>10</v>
      </c>
      <c r="I33" s="15" t="s">
        <v>41</v>
      </c>
      <c r="J33" s="18">
        <v>1</v>
      </c>
      <c r="K33" s="15">
        <v>1</v>
      </c>
      <c r="L33" s="42" t="s">
        <v>41</v>
      </c>
      <c r="M33" s="28"/>
      <c r="N33" s="28"/>
      <c r="O33" s="28"/>
      <c r="P33" s="28"/>
      <c r="Q33" s="28"/>
    </row>
    <row r="34" spans="1:17" ht="21" customHeight="1">
      <c r="A34" s="9" t="s">
        <v>71</v>
      </c>
      <c r="B34" s="28" t="s">
        <v>116</v>
      </c>
      <c r="C34" s="27">
        <v>1</v>
      </c>
      <c r="D34" s="27">
        <v>1</v>
      </c>
      <c r="E34" s="12">
        <f t="shared" si="5"/>
        <v>0.875</v>
      </c>
      <c r="F34" s="13" t="str">
        <f t="shared" si="6"/>
        <v>L</v>
      </c>
      <c r="G34" s="22">
        <v>10</v>
      </c>
      <c r="H34" s="14">
        <f t="shared" si="7"/>
        <v>8.75</v>
      </c>
      <c r="I34" s="15" t="s">
        <v>41</v>
      </c>
      <c r="J34" s="18">
        <v>0.75</v>
      </c>
      <c r="K34" s="15">
        <v>1</v>
      </c>
      <c r="L34" s="42" t="s">
        <v>41</v>
      </c>
      <c r="M34" s="35"/>
      <c r="N34" s="28"/>
      <c r="O34" s="28"/>
      <c r="P34" s="28"/>
      <c r="Q34" s="28"/>
    </row>
    <row r="35" spans="1:17" ht="24.95" customHeight="1">
      <c r="A35" s="9" t="s">
        <v>117</v>
      </c>
      <c r="B35" s="28" t="s">
        <v>118</v>
      </c>
      <c r="C35" s="27">
        <v>1</v>
      </c>
      <c r="D35" s="27">
        <v>1</v>
      </c>
      <c r="E35" s="12" t="str">
        <f t="shared" si="5"/>
        <v>-</v>
      </c>
      <c r="F35" s="13" t="str">
        <f t="shared" si="6"/>
        <v>m</v>
      </c>
      <c r="G35" s="22">
        <v>10</v>
      </c>
      <c r="H35" s="14" t="str">
        <f t="shared" si="7"/>
        <v>-</v>
      </c>
      <c r="I35" s="15" t="s">
        <v>41</v>
      </c>
      <c r="J35" s="15" t="s">
        <v>41</v>
      </c>
      <c r="K35" s="15" t="s">
        <v>41</v>
      </c>
      <c r="L35" s="15" t="s">
        <v>41</v>
      </c>
      <c r="M35" s="11"/>
      <c r="N35" s="28"/>
      <c r="O35" s="28"/>
      <c r="P35" s="28"/>
      <c r="Q35" s="28"/>
    </row>
    <row r="36" spans="1:17" ht="24.95" customHeight="1">
      <c r="A36" s="9" t="s">
        <v>119</v>
      </c>
      <c r="B36" s="28" t="s">
        <v>120</v>
      </c>
      <c r="C36" s="27">
        <v>1</v>
      </c>
      <c r="D36" s="27">
        <v>1</v>
      </c>
      <c r="E36" s="12">
        <f t="shared" si="5"/>
        <v>1</v>
      </c>
      <c r="F36" s="13" t="str">
        <f t="shared" si="6"/>
        <v>J</v>
      </c>
      <c r="G36" s="22">
        <v>10</v>
      </c>
      <c r="H36" s="14">
        <f t="shared" si="7"/>
        <v>10</v>
      </c>
      <c r="I36" s="15" t="s">
        <v>41</v>
      </c>
      <c r="J36" s="18">
        <v>1</v>
      </c>
      <c r="K36" s="15" t="s">
        <v>41</v>
      </c>
      <c r="L36" s="18">
        <v>1</v>
      </c>
      <c r="M36" s="11" t="s">
        <v>182</v>
      </c>
      <c r="N36" s="28"/>
      <c r="O36" s="28"/>
      <c r="P36" s="28"/>
      <c r="Q36" s="28"/>
    </row>
    <row r="37" spans="1:17" ht="22.5">
      <c r="B37" s="17" t="s">
        <v>73</v>
      </c>
      <c r="C37" s="18">
        <v>1</v>
      </c>
      <c r="D37" s="18">
        <v>1</v>
      </c>
      <c r="E37" s="19">
        <f>H37/G37</f>
        <v>0.9821428571428571</v>
      </c>
      <c r="F37" s="13" t="str">
        <f t="shared" si="6"/>
        <v>L</v>
      </c>
      <c r="G37" s="16">
        <f>SUMIF(H28:H36,"&gt;0",G28:G36)</f>
        <v>70</v>
      </c>
      <c r="H37" s="16">
        <f>+SUM(H28:H36)</f>
        <v>68.75</v>
      </c>
    </row>
  </sheetData>
  <conditionalFormatting sqref="H8">
    <cfRule type="containsText" dxfId="41" priority="10" operator="containsText" text="L">
      <formula>NOT(ISERROR(SEARCH("L",H8)))</formula>
    </cfRule>
    <cfRule type="containsText" dxfId="40" priority="11" operator="containsText" text="J">
      <formula>NOT(ISERROR(SEARCH("J",H8)))</formula>
    </cfRule>
  </conditionalFormatting>
  <conditionalFormatting sqref="F21">
    <cfRule type="containsText" dxfId="39" priority="7" operator="containsText" text="l">
      <formula>NOT(ISERROR(SEARCH("l",F21)))</formula>
    </cfRule>
    <cfRule type="containsText" dxfId="38" priority="8" operator="containsText" text="L">
      <formula>NOT(ISERROR(SEARCH("L",F21)))</formula>
    </cfRule>
    <cfRule type="containsText" dxfId="37" priority="9" operator="containsText" text="J">
      <formula>NOT(ISERROR(SEARCH("J",F21)))</formula>
    </cfRule>
  </conditionalFormatting>
  <conditionalFormatting sqref="F4:F11">
    <cfRule type="containsText" dxfId="36" priority="17" operator="containsText" text="l">
      <formula>NOT(ISERROR(SEARCH("l",F4)))</formula>
    </cfRule>
    <cfRule type="containsText" dxfId="35" priority="18" operator="containsText" text="L">
      <formula>NOT(ISERROR(SEARCH("L",F4)))</formula>
    </cfRule>
    <cfRule type="containsText" dxfId="34" priority="19" operator="containsText" text="J">
      <formula>NOT(ISERROR(SEARCH("J",F4)))</formula>
    </cfRule>
  </conditionalFormatting>
  <conditionalFormatting sqref="F16:F20">
    <cfRule type="containsText" dxfId="33" priority="4" operator="containsText" text="l">
      <formula>NOT(ISERROR(SEARCH("l",F16)))</formula>
    </cfRule>
    <cfRule type="containsText" dxfId="32" priority="5" operator="containsText" text="L">
      <formula>NOT(ISERROR(SEARCH("L",F16)))</formula>
    </cfRule>
    <cfRule type="containsText" dxfId="31" priority="6" operator="containsText" text="J">
      <formula>NOT(ISERROR(SEARCH("J",F16)))</formula>
    </cfRule>
  </conditionalFormatting>
  <conditionalFormatting sqref="F22:F23">
    <cfRule type="containsText" dxfId="30" priority="1" operator="containsText" text="l">
      <formula>NOT(ISERROR(SEARCH("l",F22)))</formula>
    </cfRule>
    <cfRule type="containsText" dxfId="29" priority="2" operator="containsText" text="L">
      <formula>NOT(ISERROR(SEARCH("L",F22)))</formula>
    </cfRule>
    <cfRule type="containsText" dxfId="28" priority="3" operator="containsText" text="J">
      <formula>NOT(ISERROR(SEARCH("J",F22)))</formula>
    </cfRule>
  </conditionalFormatting>
  <conditionalFormatting sqref="F28:F37">
    <cfRule type="containsText" dxfId="27" priority="14" operator="containsText" text="l">
      <formula>NOT(ISERROR(SEARCH("l",F28)))</formula>
    </cfRule>
    <cfRule type="containsText" dxfId="26" priority="15" operator="containsText" text="L">
      <formula>NOT(ISERROR(SEARCH("L",F28)))</formula>
    </cfRule>
    <cfRule type="containsText" dxfId="25" priority="16" operator="containsText" text="J">
      <formula>NOT(ISERROR(SEARCH("J",F28)))</formula>
    </cfRule>
  </conditionalFormatting>
  <conditionalFormatting sqref="H16:H22">
    <cfRule type="containsText" dxfId="24" priority="12" operator="containsText" text="L">
      <formula>NOT(ISERROR(SEARCH("L",H16)))</formula>
    </cfRule>
    <cfRule type="containsText" dxfId="23" priority="13" operator="containsText" text="J">
      <formula>NOT(ISERROR(SEARCH("J",H16)))</formula>
    </cfRule>
  </conditionalFormatting>
  <conditionalFormatting sqref="H28:H36">
    <cfRule type="containsText" dxfId="22" priority="20" operator="containsText" text="L">
      <formula>NOT(ISERROR(SEARCH("L",H28)))</formula>
    </cfRule>
    <cfRule type="containsText" dxfId="21" priority="21" operator="containsText" text="J">
      <formula>NOT(ISERROR(SEARCH("J",H28)))</formula>
    </cfRule>
  </conditionalFormatting>
  <pageMargins left="0.75" right="0.75" top="1" bottom="1" header="0.51180555555555596" footer="0.51180555555555596"/>
  <pageSetup paperSize="9"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topLeftCell="A19" workbookViewId="0">
      <selection activeCell="M31" sqref="M31"/>
    </sheetView>
  </sheetViews>
  <sheetFormatPr baseColWidth="10" defaultColWidth="9.140625" defaultRowHeight="15"/>
  <cols>
    <col min="1" max="1" width="3.5703125" style="2" customWidth="1"/>
    <col min="2" max="2" width="77.42578125" customWidth="1"/>
    <col min="3" max="3" width="9.85546875" customWidth="1"/>
    <col min="5" max="5" width="11.140625" customWidth="1"/>
    <col min="6" max="6" width="12.28515625" customWidth="1"/>
    <col min="7" max="7" width="9" customWidth="1"/>
    <col min="8" max="8" width="8.7109375" style="3" customWidth="1"/>
    <col min="13" max="13" width="32.28515625" customWidth="1"/>
    <col min="14" max="14" width="19.5703125" customWidth="1"/>
    <col min="16" max="16" width="10.28515625" customWidth="1"/>
    <col min="17" max="17" width="15.7109375" customWidth="1"/>
  </cols>
  <sheetData>
    <row r="1" spans="1:17">
      <c r="A1" s="4" t="s">
        <v>19</v>
      </c>
      <c r="B1" s="5"/>
      <c r="C1" s="5"/>
    </row>
    <row r="3" spans="1:17" s="1" customFormat="1" ht="30">
      <c r="A3" s="6" t="s">
        <v>20</v>
      </c>
      <c r="B3" s="7" t="s">
        <v>21</v>
      </c>
      <c r="C3" s="7" t="s">
        <v>22</v>
      </c>
      <c r="D3" s="7" t="s">
        <v>102</v>
      </c>
      <c r="E3" s="7" t="s">
        <v>103</v>
      </c>
      <c r="F3" s="7" t="s">
        <v>25</v>
      </c>
      <c r="G3" s="7" t="s">
        <v>26</v>
      </c>
      <c r="H3" s="8" t="s">
        <v>27</v>
      </c>
      <c r="I3" s="7" t="s">
        <v>28</v>
      </c>
      <c r="J3" s="7" t="s">
        <v>29</v>
      </c>
      <c r="K3" s="7" t="s">
        <v>30</v>
      </c>
      <c r="L3" s="7" t="s">
        <v>31</v>
      </c>
      <c r="M3" s="7" t="s">
        <v>32</v>
      </c>
      <c r="N3" s="7" t="s">
        <v>33</v>
      </c>
      <c r="O3" s="7" t="s">
        <v>34</v>
      </c>
      <c r="P3" s="7" t="s">
        <v>35</v>
      </c>
      <c r="Q3" s="7" t="s">
        <v>36</v>
      </c>
    </row>
    <row r="4" spans="1:17" ht="30">
      <c r="A4" s="9" t="s">
        <v>37</v>
      </c>
      <c r="B4" s="10" t="s">
        <v>161</v>
      </c>
      <c r="C4" s="11">
        <v>1</v>
      </c>
      <c r="D4" s="11">
        <v>1</v>
      </c>
      <c r="E4" s="12">
        <f t="shared" ref="E4:E9" si="0">+IFERROR(AVERAGE(I4:K4),"-")</f>
        <v>0.66666666666666663</v>
      </c>
      <c r="F4" s="13" t="s">
        <v>162</v>
      </c>
      <c r="G4" s="11">
        <v>10</v>
      </c>
      <c r="H4" s="14">
        <f t="shared" ref="H4:H9" si="1">IFERROR(IF(E4="-","-",IF(E4&gt;D4,G4,G4*E4/D4)),"-")</f>
        <v>6.6666666666666661</v>
      </c>
      <c r="I4" s="29">
        <v>1</v>
      </c>
      <c r="J4" s="29">
        <v>0</v>
      </c>
      <c r="K4" s="29">
        <v>1</v>
      </c>
      <c r="L4" s="29">
        <v>1</v>
      </c>
      <c r="M4" s="30" t="s">
        <v>163</v>
      </c>
      <c r="N4" s="31"/>
      <c r="O4" s="28"/>
      <c r="P4" s="28"/>
      <c r="Q4" s="16"/>
    </row>
    <row r="5" spans="1:17" ht="60">
      <c r="A5" s="9" t="s">
        <v>39</v>
      </c>
      <c r="B5" s="10" t="s">
        <v>164</v>
      </c>
      <c r="C5" s="15">
        <v>0.97</v>
      </c>
      <c r="D5" s="15">
        <v>0.97</v>
      </c>
      <c r="E5" s="16" t="str">
        <f t="shared" si="0"/>
        <v>-</v>
      </c>
      <c r="F5" s="13" t="s">
        <v>165</v>
      </c>
      <c r="G5" s="11">
        <v>10</v>
      </c>
      <c r="H5" s="14" t="str">
        <f t="shared" si="1"/>
        <v>-</v>
      </c>
      <c r="I5" s="115" t="s">
        <v>41</v>
      </c>
      <c r="J5" s="115" t="s">
        <v>41</v>
      </c>
      <c r="K5" s="115" t="s">
        <v>41</v>
      </c>
      <c r="L5" s="32"/>
      <c r="M5" s="30" t="s">
        <v>166</v>
      </c>
      <c r="N5" s="28"/>
      <c r="O5" s="28"/>
      <c r="P5" s="28"/>
      <c r="Q5" s="28"/>
    </row>
    <row r="6" spans="1:17" ht="22.5">
      <c r="A6" s="9" t="s">
        <v>46</v>
      </c>
      <c r="B6" s="10" t="s">
        <v>167</v>
      </c>
      <c r="C6" s="15">
        <v>0.98</v>
      </c>
      <c r="D6" s="15">
        <v>0.98</v>
      </c>
      <c r="E6" s="12">
        <f>K6</f>
        <v>1</v>
      </c>
      <c r="F6" s="13" t="s">
        <v>168</v>
      </c>
      <c r="G6" s="11">
        <v>20</v>
      </c>
      <c r="H6" s="14">
        <f t="shared" si="1"/>
        <v>20</v>
      </c>
      <c r="I6" s="33">
        <v>1</v>
      </c>
      <c r="J6" s="33">
        <v>1</v>
      </c>
      <c r="K6" s="33">
        <v>1</v>
      </c>
      <c r="L6" s="33">
        <v>0.9</v>
      </c>
      <c r="M6" s="28" t="s">
        <v>169</v>
      </c>
      <c r="N6" s="28"/>
      <c r="O6" s="28"/>
      <c r="P6" s="28"/>
      <c r="Q6" s="28"/>
    </row>
    <row r="7" spans="1:17" ht="30">
      <c r="A7" s="9" t="s">
        <v>50</v>
      </c>
      <c r="B7" s="10" t="s">
        <v>170</v>
      </c>
      <c r="C7" s="15">
        <v>0.99</v>
      </c>
      <c r="D7" s="15">
        <v>0.99</v>
      </c>
      <c r="E7" s="12">
        <f>K7</f>
        <v>1</v>
      </c>
      <c r="F7" s="13" t="s">
        <v>168</v>
      </c>
      <c r="G7" s="11">
        <v>40</v>
      </c>
      <c r="H7" s="14">
        <f t="shared" si="1"/>
        <v>40</v>
      </c>
      <c r="I7" s="33">
        <v>1</v>
      </c>
      <c r="J7" s="33">
        <v>1</v>
      </c>
      <c r="K7" s="33">
        <v>1</v>
      </c>
      <c r="L7" s="33">
        <v>1</v>
      </c>
      <c r="M7" s="30" t="s">
        <v>171</v>
      </c>
      <c r="N7" s="28"/>
      <c r="O7" s="28"/>
      <c r="P7" s="28"/>
      <c r="Q7" s="28"/>
    </row>
    <row r="8" spans="1:17" ht="30">
      <c r="A8" s="9" t="s">
        <v>55</v>
      </c>
      <c r="B8" s="10" t="s">
        <v>172</v>
      </c>
      <c r="C8" s="11">
        <v>1</v>
      </c>
      <c r="D8" s="11">
        <v>1</v>
      </c>
      <c r="E8" s="12">
        <f t="shared" si="0"/>
        <v>1</v>
      </c>
      <c r="F8" s="13" t="s">
        <v>168</v>
      </c>
      <c r="G8" s="11">
        <v>10</v>
      </c>
      <c r="H8" s="14">
        <f t="shared" si="1"/>
        <v>10</v>
      </c>
      <c r="I8" s="29">
        <v>1</v>
      </c>
      <c r="J8" s="29">
        <v>1</v>
      </c>
      <c r="K8" s="29">
        <v>1</v>
      </c>
      <c r="L8" s="29">
        <v>1</v>
      </c>
      <c r="M8" s="30" t="s">
        <v>173</v>
      </c>
      <c r="N8" s="28"/>
      <c r="O8" s="28"/>
      <c r="P8" s="28"/>
      <c r="Q8" s="28"/>
    </row>
    <row r="9" spans="1:17" ht="22.5">
      <c r="A9" s="9" t="s">
        <v>58</v>
      </c>
      <c r="B9" s="10" t="s">
        <v>174</v>
      </c>
      <c r="C9" s="15">
        <v>1</v>
      </c>
      <c r="D9" s="15">
        <v>0.25</v>
      </c>
      <c r="E9" s="16" t="str">
        <f t="shared" si="0"/>
        <v>-</v>
      </c>
      <c r="F9" s="13" t="s">
        <v>165</v>
      </c>
      <c r="G9" s="11">
        <v>10</v>
      </c>
      <c r="H9" s="14" t="str">
        <f t="shared" si="1"/>
        <v>-</v>
      </c>
      <c r="I9" s="115" t="s">
        <v>41</v>
      </c>
      <c r="J9" s="115" t="s">
        <v>41</v>
      </c>
      <c r="K9" s="115" t="s">
        <v>41</v>
      </c>
      <c r="L9" s="32"/>
      <c r="M9" s="28"/>
      <c r="N9" s="28"/>
      <c r="O9" s="28"/>
      <c r="P9" s="28"/>
      <c r="Q9" s="28"/>
    </row>
    <row r="10" spans="1:17" ht="22.5">
      <c r="B10" s="17" t="s">
        <v>62</v>
      </c>
      <c r="C10" s="18">
        <v>1</v>
      </c>
      <c r="D10" s="18">
        <v>0.25</v>
      </c>
      <c r="E10" s="19">
        <f>IFERROR(H10/G10,"-")</f>
        <v>0.76666666666666661</v>
      </c>
      <c r="F10" s="13" t="s">
        <v>168</v>
      </c>
      <c r="G10" s="11">
        <f>SUM(G4:G9)</f>
        <v>100</v>
      </c>
      <c r="H10" s="14">
        <f>SUM(H4:H9)</f>
        <v>76.666666666666657</v>
      </c>
    </row>
    <row r="11" spans="1:17">
      <c r="E11" s="20"/>
    </row>
    <row r="12" spans="1:17">
      <c r="A12" s="4" t="s">
        <v>63</v>
      </c>
      <c r="B12" s="5"/>
      <c r="C12" s="5"/>
      <c r="F12" s="20"/>
    </row>
    <row r="14" spans="1:17" ht="30">
      <c r="A14" s="6" t="s">
        <v>20</v>
      </c>
      <c r="B14" s="7" t="s">
        <v>21</v>
      </c>
      <c r="C14" s="7" t="s">
        <v>22</v>
      </c>
      <c r="D14" s="7" t="s">
        <v>23</v>
      </c>
      <c r="E14" s="7" t="s">
        <v>24</v>
      </c>
      <c r="F14" s="7" t="s">
        <v>25</v>
      </c>
      <c r="G14" s="7" t="s">
        <v>26</v>
      </c>
      <c r="H14" s="8" t="s">
        <v>64</v>
      </c>
      <c r="I14" s="7" t="s">
        <v>28</v>
      </c>
      <c r="J14" s="7" t="s">
        <v>29</v>
      </c>
      <c r="K14" s="7" t="s">
        <v>30</v>
      </c>
      <c r="L14" s="7" t="s">
        <v>31</v>
      </c>
      <c r="M14" s="7" t="s">
        <v>32</v>
      </c>
      <c r="N14" s="7" t="s">
        <v>33</v>
      </c>
      <c r="O14" s="7" t="s">
        <v>34</v>
      </c>
      <c r="P14" s="7" t="s">
        <v>35</v>
      </c>
      <c r="Q14" s="7" t="s">
        <v>36</v>
      </c>
    </row>
    <row r="15" spans="1:17" ht="22.5">
      <c r="A15" s="9" t="s">
        <v>37</v>
      </c>
      <c r="B15" s="10" t="s">
        <v>65</v>
      </c>
      <c r="C15" s="21">
        <f>3*20*12</f>
        <v>720</v>
      </c>
      <c r="D15" s="21">
        <f>3*20*4</f>
        <v>240</v>
      </c>
      <c r="E15" s="16">
        <f>SUM(I15:L15)</f>
        <v>61</v>
      </c>
      <c r="F15" s="13" t="str">
        <f t="shared" ref="F15:F22" si="2">IF(E15="-","m",IF(E15&lt;D15,"L","J"))</f>
        <v>L</v>
      </c>
      <c r="G15" s="22">
        <v>20</v>
      </c>
      <c r="H15" s="14">
        <f t="shared" ref="H15:H21" si="3">IFERROR(IF(E15="-","-",IF(E15&gt;D15,G15,G15*E15/D15)),"-")</f>
        <v>5.083333333333333</v>
      </c>
      <c r="I15" s="11">
        <v>4</v>
      </c>
      <c r="J15" s="11">
        <v>10</v>
      </c>
      <c r="K15" s="11">
        <v>20</v>
      </c>
      <c r="L15" s="11">
        <v>27</v>
      </c>
      <c r="M15" s="28"/>
      <c r="N15" s="28"/>
      <c r="O15" s="28"/>
      <c r="P15" s="28"/>
      <c r="Q15" s="28"/>
    </row>
    <row r="16" spans="1:17" ht="22.5">
      <c r="A16" s="9" t="s">
        <v>39</v>
      </c>
      <c r="B16" s="23" t="s">
        <v>66</v>
      </c>
      <c r="C16" s="21"/>
      <c r="D16" s="21"/>
      <c r="E16" s="16"/>
      <c r="F16" s="13"/>
      <c r="G16" s="22"/>
      <c r="H16" s="14"/>
      <c r="I16" s="11"/>
      <c r="J16" s="11"/>
      <c r="K16" s="11"/>
      <c r="L16" s="11">
        <v>30</v>
      </c>
      <c r="M16" s="28"/>
      <c r="N16" s="28"/>
      <c r="O16" s="28"/>
      <c r="P16" s="28"/>
      <c r="Q16" s="28"/>
    </row>
    <row r="17" spans="1:17" ht="22.5">
      <c r="A17" s="9" t="s">
        <v>46</v>
      </c>
      <c r="B17" s="10" t="s">
        <v>67</v>
      </c>
      <c r="C17" s="21">
        <f>C15*90/100</f>
        <v>648</v>
      </c>
      <c r="D17" s="21">
        <f>D15*90/100</f>
        <v>216</v>
      </c>
      <c r="E17" s="16">
        <f>SUM(I17:L17)</f>
        <v>44</v>
      </c>
      <c r="F17" s="13" t="str">
        <f t="shared" si="2"/>
        <v>L</v>
      </c>
      <c r="G17" s="22">
        <v>20</v>
      </c>
      <c r="H17" s="14">
        <f t="shared" si="3"/>
        <v>4.0740740740740744</v>
      </c>
      <c r="I17" s="11">
        <v>4</v>
      </c>
      <c r="J17" s="11">
        <v>10</v>
      </c>
      <c r="K17" s="11">
        <v>6</v>
      </c>
      <c r="L17" s="11">
        <v>24</v>
      </c>
      <c r="M17" s="28"/>
      <c r="N17" s="28"/>
      <c r="O17" s="28"/>
      <c r="P17" s="28"/>
      <c r="Q17" s="28"/>
    </row>
    <row r="18" spans="1:17" ht="22.5">
      <c r="A18" s="9" t="s">
        <v>50</v>
      </c>
      <c r="B18" s="10" t="s">
        <v>68</v>
      </c>
      <c r="C18" s="21">
        <f>C17*90/100</f>
        <v>583.20000000000005</v>
      </c>
      <c r="D18" s="21">
        <f>D17*90/100</f>
        <v>194.4</v>
      </c>
      <c r="E18" s="24">
        <f>SUM(I18:L18)</f>
        <v>43</v>
      </c>
      <c r="F18" s="13" t="str">
        <f t="shared" si="2"/>
        <v>L</v>
      </c>
      <c r="G18" s="22">
        <v>20</v>
      </c>
      <c r="H18" s="14">
        <f t="shared" si="3"/>
        <v>4.4238683127572012</v>
      </c>
      <c r="I18" s="34">
        <v>4</v>
      </c>
      <c r="J18" s="11">
        <v>10</v>
      </c>
      <c r="K18" s="11">
        <v>5</v>
      </c>
      <c r="L18" s="11">
        <v>24</v>
      </c>
      <c r="M18" s="28"/>
      <c r="N18" s="28"/>
      <c r="O18" s="28"/>
      <c r="P18" s="28"/>
      <c r="Q18" s="28"/>
    </row>
    <row r="19" spans="1:17" ht="22.5">
      <c r="A19" s="9" t="s">
        <v>55</v>
      </c>
      <c r="B19" s="23" t="s">
        <v>69</v>
      </c>
      <c r="C19" s="21"/>
      <c r="D19" s="21"/>
      <c r="E19" s="24"/>
      <c r="F19" s="13"/>
      <c r="G19" s="22"/>
      <c r="H19" s="14"/>
      <c r="I19" s="34"/>
      <c r="J19" s="11"/>
      <c r="K19" s="11"/>
      <c r="L19" s="11">
        <v>6</v>
      </c>
      <c r="M19" s="28"/>
      <c r="N19" s="28"/>
      <c r="O19" s="28"/>
      <c r="P19" s="28"/>
      <c r="Q19" s="28"/>
    </row>
    <row r="20" spans="1:17" ht="22.5">
      <c r="A20" s="9" t="s">
        <v>58</v>
      </c>
      <c r="B20" s="25" t="s">
        <v>70</v>
      </c>
      <c r="C20" s="15">
        <v>0.02</v>
      </c>
      <c r="D20" s="15">
        <v>0.02</v>
      </c>
      <c r="E20" s="12">
        <f>IFERROR(AVERAGE(I20:L20),"-")</f>
        <v>0.05</v>
      </c>
      <c r="F20" s="13" t="str">
        <f>IF(E20="-","m",IF(E20&lt;D20,"J","L"))</f>
        <v>L</v>
      </c>
      <c r="G20" s="22">
        <v>20</v>
      </c>
      <c r="H20" s="14">
        <f t="shared" si="3"/>
        <v>20</v>
      </c>
      <c r="I20" s="15">
        <v>0</v>
      </c>
      <c r="J20" s="15">
        <v>0</v>
      </c>
      <c r="K20" s="15">
        <v>0</v>
      </c>
      <c r="L20" s="15">
        <f>L19/L16</f>
        <v>0.2</v>
      </c>
      <c r="M20" s="28"/>
      <c r="N20" s="28"/>
      <c r="O20" s="28"/>
      <c r="P20" s="28"/>
      <c r="Q20" s="28"/>
    </row>
    <row r="21" spans="1:17" ht="22.5">
      <c r="A21" s="9" t="s">
        <v>71</v>
      </c>
      <c r="B21" s="25" t="s">
        <v>72</v>
      </c>
      <c r="C21" s="18">
        <v>0.98</v>
      </c>
      <c r="D21" s="18">
        <v>0.98</v>
      </c>
      <c r="E21" s="12">
        <f>IFERROR(AVERAGE(I21:L21),"-")</f>
        <v>1</v>
      </c>
      <c r="F21" s="13" t="str">
        <f t="shared" si="2"/>
        <v>J</v>
      </c>
      <c r="G21" s="22">
        <v>20</v>
      </c>
      <c r="H21" s="14">
        <f t="shared" si="3"/>
        <v>20</v>
      </c>
      <c r="I21" s="18">
        <v>1</v>
      </c>
      <c r="J21" s="18">
        <v>1</v>
      </c>
      <c r="K21" s="18">
        <v>1</v>
      </c>
      <c r="L21" s="18">
        <v>1</v>
      </c>
      <c r="M21" s="28"/>
      <c r="N21" s="28"/>
      <c r="O21" s="28"/>
      <c r="P21" s="28"/>
      <c r="Q21" s="28"/>
    </row>
    <row r="22" spans="1:17" ht="22.5">
      <c r="B22" s="17" t="s">
        <v>73</v>
      </c>
      <c r="C22" s="18">
        <v>1</v>
      </c>
      <c r="D22" s="18">
        <v>1</v>
      </c>
      <c r="E22" s="19">
        <f>H22/G22</f>
        <v>0.53581275720164612</v>
      </c>
      <c r="F22" s="13" t="str">
        <f t="shared" si="2"/>
        <v>L</v>
      </c>
      <c r="G22" s="11">
        <f>SUM(G14:G21)</f>
        <v>100</v>
      </c>
      <c r="H22" s="14">
        <f>SUM(H14:H21)</f>
        <v>53.581275720164612</v>
      </c>
    </row>
    <row r="24" spans="1:17">
      <c r="A24" s="4" t="s">
        <v>109</v>
      </c>
      <c r="B24" s="5"/>
      <c r="C24" s="5"/>
      <c r="F24" s="20"/>
    </row>
    <row r="26" spans="1:17" ht="30">
      <c r="A26" s="6" t="s">
        <v>20</v>
      </c>
      <c r="B26" s="7" t="s">
        <v>21</v>
      </c>
      <c r="C26" s="7" t="s">
        <v>22</v>
      </c>
      <c r="D26" s="7" t="s">
        <v>102</v>
      </c>
      <c r="E26" s="7" t="s">
        <v>103</v>
      </c>
      <c r="F26" s="7" t="s">
        <v>25</v>
      </c>
      <c r="G26" s="7" t="s">
        <v>26</v>
      </c>
      <c r="H26" s="8" t="s">
        <v>27</v>
      </c>
      <c r="I26" s="7" t="s">
        <v>28</v>
      </c>
      <c r="J26" s="7" t="s">
        <v>29</v>
      </c>
      <c r="K26" s="7" t="s">
        <v>30</v>
      </c>
      <c r="L26" s="7" t="s">
        <v>31</v>
      </c>
      <c r="M26" s="7" t="s">
        <v>32</v>
      </c>
      <c r="N26" s="7" t="s">
        <v>33</v>
      </c>
      <c r="O26" s="7" t="s">
        <v>34</v>
      </c>
      <c r="P26" s="7" t="s">
        <v>35</v>
      </c>
      <c r="Q26" s="7" t="s">
        <v>36</v>
      </c>
    </row>
    <row r="27" spans="1:17" ht="22.5">
      <c r="A27" s="9" t="s">
        <v>37</v>
      </c>
      <c r="B27" s="26" t="s">
        <v>110</v>
      </c>
      <c r="C27" s="27">
        <v>1</v>
      </c>
      <c r="D27" s="27">
        <v>1</v>
      </c>
      <c r="E27" s="12">
        <f t="shared" ref="E27:E35" si="4">IFERROR(AVERAGE(I27:K27),"-")</f>
        <v>1</v>
      </c>
      <c r="F27" s="13" t="str">
        <f t="shared" ref="F27:F36" si="5">IF(E27="-","m",IF(E27&lt;D27,"L","J"))</f>
        <v>J</v>
      </c>
      <c r="G27" s="22">
        <v>20</v>
      </c>
      <c r="H27" s="14">
        <f t="shared" ref="H27:H35" si="6">IF(E27="-","-",IF(E27&gt;D27,G27,G27*E27/D27))</f>
        <v>20</v>
      </c>
      <c r="I27" s="15" t="s">
        <v>41</v>
      </c>
      <c r="J27" s="15">
        <v>1</v>
      </c>
      <c r="K27" s="15">
        <v>1</v>
      </c>
      <c r="L27" s="15">
        <v>1</v>
      </c>
      <c r="M27" s="117" t="s">
        <v>189</v>
      </c>
      <c r="N27" s="28"/>
      <c r="O27" s="28"/>
      <c r="P27" s="28"/>
      <c r="Q27" s="28"/>
    </row>
    <row r="28" spans="1:17" ht="22.5">
      <c r="A28" s="9" t="s">
        <v>39</v>
      </c>
      <c r="B28" s="26" t="s">
        <v>111</v>
      </c>
      <c r="C28" s="27">
        <v>1</v>
      </c>
      <c r="D28" s="27">
        <v>1</v>
      </c>
      <c r="E28" s="12">
        <f t="shared" si="4"/>
        <v>1</v>
      </c>
      <c r="F28" s="13" t="str">
        <f t="shared" si="5"/>
        <v>J</v>
      </c>
      <c r="G28" s="22">
        <v>10</v>
      </c>
      <c r="H28" s="14">
        <f t="shared" si="6"/>
        <v>10</v>
      </c>
      <c r="I28" s="15" t="s">
        <v>41</v>
      </c>
      <c r="J28" s="15">
        <v>1</v>
      </c>
      <c r="K28" s="15">
        <v>1</v>
      </c>
      <c r="L28" s="15">
        <v>1</v>
      </c>
      <c r="M28" s="15"/>
      <c r="N28" s="28"/>
      <c r="O28" s="28"/>
      <c r="P28" s="28"/>
      <c r="Q28" s="28"/>
    </row>
    <row r="29" spans="1:17" ht="22.5">
      <c r="A29" s="9" t="s">
        <v>46</v>
      </c>
      <c r="B29" s="26" t="s">
        <v>112</v>
      </c>
      <c r="C29" s="27">
        <v>1</v>
      </c>
      <c r="D29" s="27">
        <v>1</v>
      </c>
      <c r="E29" s="12" t="str">
        <f t="shared" si="4"/>
        <v>-</v>
      </c>
      <c r="F29" s="13" t="str">
        <f t="shared" si="5"/>
        <v>m</v>
      </c>
      <c r="G29" s="22">
        <v>10</v>
      </c>
      <c r="H29" s="14" t="str">
        <f t="shared" si="6"/>
        <v>-</v>
      </c>
      <c r="I29" s="15" t="s">
        <v>41</v>
      </c>
      <c r="J29" s="15" t="s">
        <v>41</v>
      </c>
      <c r="K29" s="15" t="s">
        <v>41</v>
      </c>
      <c r="L29" s="15" t="s">
        <v>41</v>
      </c>
      <c r="M29" s="15"/>
      <c r="N29" s="28"/>
      <c r="O29" s="28"/>
      <c r="P29" s="28"/>
      <c r="Q29" s="28"/>
    </row>
    <row r="30" spans="1:17" ht="22.5">
      <c r="A30" s="9" t="s">
        <v>50</v>
      </c>
      <c r="B30" s="26" t="s">
        <v>113</v>
      </c>
      <c r="C30" s="27">
        <v>1</v>
      </c>
      <c r="D30" s="27">
        <v>1</v>
      </c>
      <c r="E30" s="12" t="str">
        <f t="shared" si="4"/>
        <v>-</v>
      </c>
      <c r="F30" s="13" t="str">
        <f t="shared" si="5"/>
        <v>m</v>
      </c>
      <c r="G30" s="22">
        <v>10</v>
      </c>
      <c r="H30" s="14" t="str">
        <f t="shared" si="6"/>
        <v>-</v>
      </c>
      <c r="I30" s="15" t="s">
        <v>41</v>
      </c>
      <c r="J30" s="15" t="s">
        <v>41</v>
      </c>
      <c r="K30" s="15" t="s">
        <v>41</v>
      </c>
      <c r="L30" s="15" t="s">
        <v>41</v>
      </c>
      <c r="M30" s="35"/>
      <c r="N30" s="28"/>
      <c r="O30" s="28"/>
      <c r="P30" s="28"/>
      <c r="Q30" s="28"/>
    </row>
    <row r="31" spans="1:17" ht="22.5">
      <c r="A31" s="9" t="s">
        <v>55</v>
      </c>
      <c r="B31" s="26" t="s">
        <v>114</v>
      </c>
      <c r="C31" s="27">
        <v>1</v>
      </c>
      <c r="D31" s="27">
        <v>1</v>
      </c>
      <c r="E31" s="12">
        <f t="shared" si="4"/>
        <v>1</v>
      </c>
      <c r="F31" s="13" t="str">
        <f t="shared" si="5"/>
        <v>J</v>
      </c>
      <c r="G31" s="22">
        <v>10</v>
      </c>
      <c r="H31" s="14">
        <f t="shared" si="6"/>
        <v>10</v>
      </c>
      <c r="I31" s="15" t="s">
        <v>41</v>
      </c>
      <c r="J31" s="15" t="s">
        <v>41</v>
      </c>
      <c r="K31" s="15">
        <v>1</v>
      </c>
      <c r="L31" s="15" t="s">
        <v>41</v>
      </c>
      <c r="M31" s="35"/>
      <c r="N31" s="28"/>
      <c r="O31" s="28"/>
      <c r="P31" s="28"/>
      <c r="Q31" s="28"/>
    </row>
    <row r="32" spans="1:17" ht="22.5">
      <c r="A32" s="9" t="s">
        <v>58</v>
      </c>
      <c r="B32" s="28" t="s">
        <v>115</v>
      </c>
      <c r="C32" s="27">
        <v>1</v>
      </c>
      <c r="D32" s="27">
        <v>1</v>
      </c>
      <c r="E32" s="12">
        <f t="shared" si="4"/>
        <v>1</v>
      </c>
      <c r="F32" s="13" t="str">
        <f t="shared" si="5"/>
        <v>J</v>
      </c>
      <c r="G32" s="22">
        <v>10</v>
      </c>
      <c r="H32" s="14">
        <f t="shared" si="6"/>
        <v>10</v>
      </c>
      <c r="I32" s="15" t="s">
        <v>41</v>
      </c>
      <c r="J32" s="18">
        <v>1</v>
      </c>
      <c r="K32" s="15">
        <v>1</v>
      </c>
      <c r="L32" s="15" t="s">
        <v>41</v>
      </c>
      <c r="M32" s="28"/>
      <c r="N32" s="28"/>
      <c r="O32" s="28"/>
      <c r="P32" s="28"/>
      <c r="Q32" s="28"/>
    </row>
    <row r="33" spans="1:17" ht="22.5">
      <c r="A33" s="9" t="s">
        <v>71</v>
      </c>
      <c r="B33" s="28" t="s">
        <v>116</v>
      </c>
      <c r="C33" s="27">
        <v>1</v>
      </c>
      <c r="D33" s="27">
        <v>1</v>
      </c>
      <c r="E33" s="12">
        <f t="shared" si="4"/>
        <v>0.90500000000000003</v>
      </c>
      <c r="F33" s="13" t="str">
        <f t="shared" si="5"/>
        <v>L</v>
      </c>
      <c r="G33" s="22">
        <v>10</v>
      </c>
      <c r="H33" s="14">
        <f t="shared" si="6"/>
        <v>9.0500000000000007</v>
      </c>
      <c r="I33" s="15" t="s">
        <v>41</v>
      </c>
      <c r="J33" s="18">
        <v>0.81</v>
      </c>
      <c r="K33" s="15">
        <v>1</v>
      </c>
      <c r="L33" s="15" t="s">
        <v>41</v>
      </c>
      <c r="M33" s="35"/>
      <c r="N33" s="28"/>
      <c r="O33" s="28"/>
      <c r="P33" s="28"/>
      <c r="Q33" s="28"/>
    </row>
    <row r="34" spans="1:17" ht="22.5">
      <c r="A34" s="9" t="s">
        <v>117</v>
      </c>
      <c r="B34" s="28" t="s">
        <v>118</v>
      </c>
      <c r="C34" s="27">
        <v>1</v>
      </c>
      <c r="D34" s="27">
        <v>1</v>
      </c>
      <c r="E34" s="12" t="str">
        <f t="shared" si="4"/>
        <v>-</v>
      </c>
      <c r="F34" s="13" t="str">
        <f t="shared" si="5"/>
        <v>m</v>
      </c>
      <c r="G34" s="22">
        <v>10</v>
      </c>
      <c r="H34" s="14" t="str">
        <f t="shared" si="6"/>
        <v>-</v>
      </c>
      <c r="I34" s="15" t="s">
        <v>41</v>
      </c>
      <c r="J34" s="36" t="s">
        <v>41</v>
      </c>
      <c r="K34" s="36" t="s">
        <v>41</v>
      </c>
      <c r="L34" s="15" t="s">
        <v>41</v>
      </c>
      <c r="M34" s="11"/>
      <c r="N34" s="28"/>
      <c r="O34" s="28"/>
      <c r="P34" s="28"/>
      <c r="Q34" s="28"/>
    </row>
    <row r="35" spans="1:17" ht="22.5">
      <c r="A35" s="9" t="s">
        <v>119</v>
      </c>
      <c r="B35" s="28" t="s">
        <v>120</v>
      </c>
      <c r="C35" s="27">
        <v>1</v>
      </c>
      <c r="D35" s="27">
        <v>1</v>
      </c>
      <c r="E35" s="12">
        <f t="shared" si="4"/>
        <v>0.5</v>
      </c>
      <c r="F35" s="13" t="str">
        <f t="shared" si="5"/>
        <v>L</v>
      </c>
      <c r="G35" s="22">
        <v>10</v>
      </c>
      <c r="H35" s="14">
        <f t="shared" si="6"/>
        <v>5</v>
      </c>
      <c r="I35" s="15" t="s">
        <v>41</v>
      </c>
      <c r="J35" s="18">
        <v>0.5</v>
      </c>
      <c r="K35" s="36" t="s">
        <v>41</v>
      </c>
      <c r="L35" s="15" t="s">
        <v>41</v>
      </c>
      <c r="M35" s="11"/>
      <c r="N35" s="28"/>
      <c r="O35" s="28"/>
      <c r="P35" s="28"/>
      <c r="Q35" s="28"/>
    </row>
    <row r="36" spans="1:17" ht="22.5">
      <c r="B36" s="17" t="s">
        <v>73</v>
      </c>
      <c r="C36" s="18">
        <v>1</v>
      </c>
      <c r="D36" s="18">
        <v>1</v>
      </c>
      <c r="E36" s="19">
        <f>H36/G36</f>
        <v>0.91499999999999992</v>
      </c>
      <c r="F36" s="13" t="str">
        <f t="shared" si="5"/>
        <v>L</v>
      </c>
      <c r="G36" s="16">
        <f>SUMIF(H27:H35,"&gt;0",G27:G35)</f>
        <v>70</v>
      </c>
      <c r="H36" s="16">
        <f>+SUM(H27:H35)</f>
        <v>64.05</v>
      </c>
    </row>
  </sheetData>
  <conditionalFormatting sqref="H5">
    <cfRule type="containsText" dxfId="20" priority="10" operator="containsText" text="L">
      <formula>NOT(ISERROR(SEARCH("L",H5)))</formula>
    </cfRule>
    <cfRule type="containsText" dxfId="19" priority="11" operator="containsText" text="J">
      <formula>NOT(ISERROR(SEARCH("J",H5)))</formula>
    </cfRule>
  </conditionalFormatting>
  <conditionalFormatting sqref="F20">
    <cfRule type="containsText" dxfId="18" priority="12" operator="containsText" text="l">
      <formula>NOT(ISERROR(SEARCH("l",F20)))</formula>
    </cfRule>
    <cfRule type="containsText" dxfId="17" priority="13" operator="containsText" text="L">
      <formula>NOT(ISERROR(SEARCH("L",F20)))</formula>
    </cfRule>
    <cfRule type="containsText" dxfId="16" priority="14" operator="containsText" text="J">
      <formula>NOT(ISERROR(SEARCH("J",F20)))</formula>
    </cfRule>
  </conditionalFormatting>
  <conditionalFormatting sqref="F4:F10">
    <cfRule type="containsText" dxfId="15" priority="1" operator="containsText" text="l">
      <formula>NOT(ISERROR(SEARCH("l",F4)))</formula>
    </cfRule>
    <cfRule type="containsText" dxfId="14" priority="2" operator="containsText" text="L">
      <formula>NOT(ISERROR(SEARCH("L",F4)))</formula>
    </cfRule>
    <cfRule type="containsText" dxfId="13" priority="3" operator="containsText" text="J">
      <formula>NOT(ISERROR(SEARCH("J",F4)))</formula>
    </cfRule>
  </conditionalFormatting>
  <conditionalFormatting sqref="F15:F19">
    <cfRule type="containsText" dxfId="12" priority="7" operator="containsText" text="l">
      <formula>NOT(ISERROR(SEARCH("l",F15)))</formula>
    </cfRule>
    <cfRule type="containsText" dxfId="11" priority="8" operator="containsText" text="L">
      <formula>NOT(ISERROR(SEARCH("L",F15)))</formula>
    </cfRule>
    <cfRule type="containsText" dxfId="10" priority="9" operator="containsText" text="J">
      <formula>NOT(ISERROR(SEARCH("J",F15)))</formula>
    </cfRule>
  </conditionalFormatting>
  <conditionalFormatting sqref="F21:F22">
    <cfRule type="containsText" dxfId="9" priority="4" operator="containsText" text="l">
      <formula>NOT(ISERROR(SEARCH("l",F21)))</formula>
    </cfRule>
    <cfRule type="containsText" dxfId="8" priority="5" operator="containsText" text="L">
      <formula>NOT(ISERROR(SEARCH("L",F21)))</formula>
    </cfRule>
    <cfRule type="containsText" dxfId="7" priority="6" operator="containsText" text="J">
      <formula>NOT(ISERROR(SEARCH("J",F21)))</formula>
    </cfRule>
  </conditionalFormatting>
  <conditionalFormatting sqref="F27:F36">
    <cfRule type="containsText" dxfId="6" priority="17" operator="containsText" text="l">
      <formula>NOT(ISERROR(SEARCH("l",F27)))</formula>
    </cfRule>
    <cfRule type="containsText" dxfId="5" priority="18" operator="containsText" text="L">
      <formula>NOT(ISERROR(SEARCH("L",F27)))</formula>
    </cfRule>
    <cfRule type="containsText" dxfId="4" priority="19" operator="containsText" text="J">
      <formula>NOT(ISERROR(SEARCH("J",F27)))</formula>
    </cfRule>
  </conditionalFormatting>
  <conditionalFormatting sqref="H15:H21">
    <cfRule type="containsText" dxfId="3" priority="15" operator="containsText" text="L">
      <formula>NOT(ISERROR(SEARCH("L",H15)))</formula>
    </cfRule>
    <cfRule type="containsText" dxfId="2" priority="16" operator="containsText" text="J">
      <formula>NOT(ISERROR(SEARCH("J",H15)))</formula>
    </cfRule>
  </conditionalFormatting>
  <conditionalFormatting sqref="H27:H35">
    <cfRule type="containsText" dxfId="1" priority="20" operator="containsText" text="L">
      <formula>NOT(ISERROR(SEARCH("L",H27)))</formula>
    </cfRule>
    <cfRule type="containsText" dxfId="0" priority="21" operator="containsText" text="J">
      <formula>NOT(ISERROR(SEARCH("J",H27)))</formula>
    </cfRule>
  </conditionalFormatting>
  <pageMargins left="0.75" right="0.75" top="1" bottom="1" header="0.51180555555555596" footer="0.51180555555555596"/>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
  <sheetViews>
    <sheetView showGridLines="0" zoomScale="55" zoomScaleNormal="55" workbookViewId="0">
      <selection activeCell="AK23" sqref="AK23"/>
    </sheetView>
  </sheetViews>
  <sheetFormatPr baseColWidth="10" defaultColWidth="9.140625" defaultRowHeight="12.75"/>
  <cols>
    <col min="1" max="1" width="4.7109375" style="84" customWidth="1"/>
    <col min="2" max="5" width="5.42578125" style="84" customWidth="1"/>
    <col min="6" max="6" width="12.140625" style="84" customWidth="1"/>
    <col min="7" max="7" width="1.7109375" style="84" customWidth="1"/>
    <col min="8" max="8" width="5.42578125" style="84" hidden="1" customWidth="1"/>
    <col min="9" max="9" width="31" style="84" customWidth="1"/>
    <col min="10" max="12" width="5.42578125" style="84" customWidth="1"/>
    <col min="13" max="21" width="5.42578125" style="85" customWidth="1"/>
    <col min="22" max="35" width="5.42578125" style="84" customWidth="1"/>
    <col min="36" max="36" width="1.42578125" style="84" customWidth="1"/>
    <col min="37" max="37" width="24.42578125" style="84" customWidth="1"/>
    <col min="38" max="38" width="15" style="84" customWidth="1"/>
    <col min="39" max="39" width="23.140625" style="84" customWidth="1"/>
    <col min="40" max="40" width="5.42578125" style="84" customWidth="1"/>
    <col min="41" max="42" width="9.140625" style="84"/>
    <col min="43" max="43" width="13.85546875" style="84"/>
    <col min="44" max="46" width="9.140625" style="84"/>
    <col min="47" max="47" width="17.28515625" style="84"/>
    <col min="48" max="16384" width="9.140625" style="84"/>
  </cols>
  <sheetData>
    <row r="1" spans="1:39" ht="45.95" customHeight="1">
      <c r="A1" s="126"/>
      <c r="B1" s="126"/>
      <c r="C1" s="126"/>
      <c r="D1" s="126"/>
      <c r="F1" s="86"/>
      <c r="G1" s="87"/>
      <c r="H1" s="87"/>
      <c r="I1" s="93" t="s">
        <v>17</v>
      </c>
      <c r="J1" s="87"/>
      <c r="K1" s="87"/>
      <c r="L1" s="87"/>
      <c r="M1" s="87"/>
      <c r="N1" s="87"/>
      <c r="O1" s="87"/>
      <c r="P1" s="87"/>
      <c r="Q1" s="87"/>
      <c r="R1" s="87"/>
      <c r="S1" s="87"/>
      <c r="T1" s="87"/>
      <c r="U1" s="87"/>
      <c r="V1" s="87"/>
      <c r="W1" s="87"/>
      <c r="X1" s="87"/>
      <c r="Y1" s="105"/>
      <c r="Z1" s="105"/>
      <c r="AA1" s="105"/>
      <c r="AB1" s="105"/>
      <c r="AC1" s="105"/>
      <c r="AD1" s="105"/>
      <c r="AE1" s="105"/>
      <c r="AF1" s="105"/>
      <c r="AG1" s="105"/>
    </row>
    <row r="3" spans="1:39">
      <c r="R3" s="84"/>
      <c r="S3" s="84"/>
      <c r="V3" s="85"/>
      <c r="W3" s="85"/>
      <c r="X3" s="85"/>
      <c r="Y3" s="85"/>
      <c r="Z3" s="85"/>
      <c r="AA3" s="85"/>
      <c r="AB3" s="85"/>
      <c r="AC3" s="85"/>
      <c r="AD3" s="85"/>
      <c r="AE3" s="85"/>
      <c r="AF3" s="85"/>
      <c r="AL3" s="11" t="s">
        <v>1</v>
      </c>
      <c r="AM3" s="11" t="s">
        <v>2</v>
      </c>
    </row>
    <row r="4" spans="1:39">
      <c r="B4" s="88"/>
      <c r="C4" s="89"/>
      <c r="D4" s="89"/>
      <c r="E4" s="89"/>
      <c r="F4" s="89"/>
      <c r="G4" s="89"/>
      <c r="H4" s="89"/>
      <c r="I4" s="89"/>
      <c r="J4" s="89"/>
      <c r="K4" s="89"/>
      <c r="L4" s="89"/>
      <c r="M4" s="94"/>
      <c r="N4" s="94"/>
      <c r="O4" s="94"/>
      <c r="P4" s="94"/>
      <c r="Q4" s="94"/>
      <c r="R4" s="89"/>
      <c r="S4" s="89"/>
      <c r="T4" s="94"/>
      <c r="U4" s="94"/>
      <c r="V4" s="94"/>
      <c r="W4" s="96"/>
      <c r="X4" s="97"/>
      <c r="Y4" s="94"/>
      <c r="Z4" s="94"/>
      <c r="AA4" s="94"/>
      <c r="AB4" s="94"/>
      <c r="AC4" s="94"/>
      <c r="AD4" s="94"/>
      <c r="AE4" s="94"/>
      <c r="AF4" s="96"/>
      <c r="AK4" s="106" t="s">
        <v>3</v>
      </c>
      <c r="AL4" s="15">
        <v>1</v>
      </c>
      <c r="AM4" s="107">
        <f>+PROD!E21</f>
        <v>0.54142300747459471</v>
      </c>
    </row>
    <row r="5" spans="1:39">
      <c r="B5" s="90"/>
      <c r="R5" s="84"/>
      <c r="S5" s="84"/>
      <c r="V5" s="85"/>
      <c r="W5" s="98"/>
      <c r="X5" s="99"/>
      <c r="Y5" s="85"/>
      <c r="Z5" s="85"/>
      <c r="AA5" s="85"/>
      <c r="AB5" s="85"/>
      <c r="AC5" s="85"/>
      <c r="AD5" s="85"/>
      <c r="AE5" s="85"/>
      <c r="AF5" s="98"/>
      <c r="AK5" s="106" t="s">
        <v>4</v>
      </c>
      <c r="AL5" s="15">
        <v>1</v>
      </c>
      <c r="AM5" s="107">
        <f>+'M&amp;Q'!E22</f>
        <v>0.83117283950617293</v>
      </c>
    </row>
    <row r="6" spans="1:39">
      <c r="B6" s="90"/>
      <c r="R6" s="84"/>
      <c r="S6" s="84"/>
      <c r="V6" s="85"/>
      <c r="W6" s="98"/>
      <c r="X6" s="99"/>
      <c r="Y6" s="85"/>
      <c r="Z6" s="85"/>
      <c r="AA6" s="85"/>
      <c r="AB6" s="85"/>
      <c r="AC6" s="85"/>
      <c r="AD6" s="85"/>
      <c r="AE6" s="85"/>
      <c r="AF6" s="98"/>
      <c r="AK6" s="106" t="s">
        <v>5</v>
      </c>
      <c r="AL6" s="15">
        <v>1</v>
      </c>
      <c r="AM6" s="107">
        <f>+ETUDES!E18</f>
        <v>0.31373834719072813</v>
      </c>
    </row>
    <row r="7" spans="1:39">
      <c r="B7" s="90"/>
      <c r="R7" s="84"/>
      <c r="S7" s="84"/>
      <c r="V7" s="85"/>
      <c r="W7" s="98"/>
      <c r="X7" s="99"/>
      <c r="Y7" s="85"/>
      <c r="Z7" s="85"/>
      <c r="AA7" s="85"/>
      <c r="AB7" s="85"/>
      <c r="AC7" s="85"/>
      <c r="AD7" s="85"/>
      <c r="AE7" s="85"/>
      <c r="AF7" s="98"/>
      <c r="AK7" s="106" t="s">
        <v>6</v>
      </c>
      <c r="AL7" s="15">
        <v>1</v>
      </c>
      <c r="AM7" s="107">
        <f>+DEV!E20</f>
        <v>0.36098030570252798</v>
      </c>
    </row>
    <row r="8" spans="1:39">
      <c r="B8" s="90"/>
      <c r="R8" s="84"/>
      <c r="S8" s="84"/>
      <c r="V8" s="85"/>
      <c r="W8" s="98"/>
      <c r="X8" s="99"/>
      <c r="Y8" s="85"/>
      <c r="Z8" s="85"/>
      <c r="AA8" s="85"/>
      <c r="AB8" s="85"/>
      <c r="AC8" s="85"/>
      <c r="AD8" s="85"/>
      <c r="AE8" s="85"/>
      <c r="AF8" s="98"/>
      <c r="AK8" s="106" t="s">
        <v>7</v>
      </c>
      <c r="AL8" s="15">
        <v>1</v>
      </c>
      <c r="AM8" s="107">
        <f>+DSI!E21</f>
        <v>6.1308474006886708E-2</v>
      </c>
    </row>
    <row r="9" spans="1:39">
      <c r="B9" s="90"/>
      <c r="R9" s="84"/>
      <c r="S9" s="84"/>
      <c r="V9" s="85"/>
      <c r="W9" s="98"/>
      <c r="X9" s="99"/>
      <c r="Y9" s="85"/>
      <c r="Z9" s="85"/>
      <c r="AA9" s="85"/>
      <c r="AB9" s="85"/>
      <c r="AC9" s="85"/>
      <c r="AD9" s="85"/>
      <c r="AE9" s="85"/>
      <c r="AF9" s="98"/>
      <c r="AK9" s="106" t="s">
        <v>8</v>
      </c>
      <c r="AL9" s="15">
        <v>1</v>
      </c>
      <c r="AM9" s="107">
        <f>+ADMIN!E23</f>
        <v>0.24415637860082307</v>
      </c>
    </row>
    <row r="10" spans="1:39">
      <c r="B10" s="90"/>
      <c r="R10" s="84"/>
      <c r="S10" s="84"/>
      <c r="V10" s="85"/>
      <c r="W10" s="98"/>
      <c r="X10" s="99"/>
      <c r="Y10" s="85"/>
      <c r="Z10" s="85"/>
      <c r="AA10" s="85"/>
      <c r="AB10" s="85"/>
      <c r="AC10" s="85"/>
      <c r="AD10" s="85"/>
      <c r="AE10" s="85"/>
      <c r="AF10" s="98"/>
      <c r="AK10" s="106" t="s">
        <v>9</v>
      </c>
      <c r="AL10" s="15">
        <v>1</v>
      </c>
      <c r="AM10" s="107" t="e">
        <f>+RH!#REF!</f>
        <v>#REF!</v>
      </c>
    </row>
    <row r="11" spans="1:39">
      <c r="B11" s="90"/>
      <c r="R11" s="84"/>
      <c r="S11" s="84"/>
      <c r="V11" s="85"/>
      <c r="W11" s="98"/>
      <c r="X11" s="99"/>
      <c r="Y11" s="85"/>
      <c r="Z11" s="85"/>
      <c r="AA11" s="85"/>
      <c r="AB11" s="85"/>
      <c r="AC11" s="85"/>
      <c r="AD11" s="85"/>
      <c r="AE11" s="85"/>
      <c r="AF11" s="98"/>
      <c r="AK11" s="106" t="s">
        <v>10</v>
      </c>
      <c r="AL11" s="15">
        <v>1</v>
      </c>
      <c r="AM11" s="107" t="e">
        <f>+SG!#REF!</f>
        <v>#REF!</v>
      </c>
    </row>
    <row r="12" spans="1:39">
      <c r="B12" s="90"/>
      <c r="R12" s="84"/>
      <c r="S12" s="84"/>
      <c r="V12" s="85"/>
      <c r="W12" s="98"/>
      <c r="X12" s="99"/>
      <c r="Y12" s="85"/>
      <c r="Z12" s="85"/>
      <c r="AA12" s="85"/>
      <c r="AB12" s="85"/>
      <c r="AC12" s="85"/>
      <c r="AD12" s="85"/>
      <c r="AE12" s="85"/>
      <c r="AF12" s="98"/>
      <c r="AK12" s="106" t="s">
        <v>11</v>
      </c>
      <c r="AL12" s="15">
        <v>1</v>
      </c>
      <c r="AM12" s="108" t="e">
        <f>('M&amp;Q'!H22+PROD!H21+ETUDES!H18+DEV!H20+DSI!H21+RH!#REF!+ADMIN!H23+SG!#REF!)/('M&amp;Q'!G22+PROD!G21+ETUDES!G18+DEV!G20+DSI!G21+RH!#REF!+ADMIN!G23+SG!#REF!)</f>
        <v>#REF!</v>
      </c>
    </row>
    <row r="13" spans="1:39">
      <c r="B13" s="90"/>
      <c r="R13" s="84"/>
      <c r="S13" s="84"/>
      <c r="V13" s="85"/>
      <c r="W13" s="98"/>
      <c r="X13" s="99"/>
      <c r="Y13" s="85"/>
      <c r="Z13" s="85"/>
      <c r="AA13" s="85"/>
      <c r="AB13" s="85"/>
      <c r="AC13" s="85"/>
      <c r="AD13" s="85"/>
      <c r="AE13" s="85"/>
      <c r="AF13" s="98"/>
    </row>
    <row r="14" spans="1:39">
      <c r="B14" s="90"/>
      <c r="R14" s="84"/>
      <c r="S14" s="84"/>
      <c r="V14" s="85"/>
      <c r="W14" s="98"/>
      <c r="X14" s="99"/>
      <c r="Y14" s="85"/>
      <c r="Z14" s="85"/>
      <c r="AA14" s="85"/>
      <c r="AB14" s="85"/>
      <c r="AC14" s="85"/>
      <c r="AD14" s="85"/>
      <c r="AE14" s="85"/>
      <c r="AF14" s="98"/>
    </row>
    <row r="15" spans="1:39">
      <c r="B15" s="90"/>
      <c r="R15" s="84"/>
      <c r="S15" s="84"/>
      <c r="V15" s="85"/>
      <c r="W15" s="98"/>
      <c r="X15" s="99"/>
      <c r="Y15" s="85"/>
      <c r="Z15" s="85"/>
      <c r="AA15" s="85"/>
      <c r="AB15" s="85"/>
      <c r="AC15" s="85"/>
      <c r="AD15" s="85"/>
      <c r="AE15" s="85"/>
      <c r="AF15" s="98"/>
    </row>
    <row r="16" spans="1:39">
      <c r="B16" s="90"/>
      <c r="W16" s="100"/>
      <c r="X16" s="90"/>
      <c r="AF16" s="100"/>
    </row>
    <row r="17" spans="2:33">
      <c r="B17" s="90"/>
      <c r="W17" s="100"/>
      <c r="X17" s="90"/>
      <c r="AF17" s="100"/>
    </row>
    <row r="18" spans="2:33">
      <c r="B18" s="90"/>
      <c r="W18" s="100"/>
      <c r="X18" s="90"/>
      <c r="AF18" s="100"/>
    </row>
    <row r="19" spans="2:33">
      <c r="B19" s="90"/>
      <c r="W19" s="100"/>
      <c r="X19" s="90"/>
      <c r="AF19" s="100"/>
    </row>
    <row r="20" spans="2:33" ht="60" customHeight="1">
      <c r="B20" s="90"/>
      <c r="Q20" s="101"/>
      <c r="W20" s="100"/>
      <c r="X20" s="91"/>
      <c r="Y20" s="92"/>
      <c r="Z20" s="92"/>
      <c r="AA20" s="92"/>
      <c r="AB20" s="92"/>
      <c r="AC20" s="92"/>
      <c r="AD20" s="92"/>
      <c r="AE20" s="92"/>
      <c r="AF20" s="104"/>
    </row>
    <row r="21" spans="2:33" ht="26.25">
      <c r="B21" s="90"/>
      <c r="S21" s="102"/>
      <c r="T21" s="102"/>
      <c r="U21" s="102"/>
      <c r="V21" s="102"/>
      <c r="W21" s="103"/>
      <c r="X21" s="139" t="s">
        <v>12</v>
      </c>
      <c r="Y21" s="140"/>
      <c r="Z21" s="140"/>
      <c r="AA21" s="140"/>
      <c r="AB21" s="140"/>
      <c r="AC21" s="140"/>
      <c r="AD21" s="140"/>
      <c r="AE21" s="140"/>
      <c r="AF21" s="141"/>
      <c r="AG21" s="102"/>
    </row>
    <row r="22" spans="2:33" ht="27" customHeight="1">
      <c r="B22" s="90"/>
      <c r="W22" s="100"/>
      <c r="X22" s="142"/>
      <c r="Y22" s="143"/>
      <c r="Z22" s="143"/>
      <c r="AA22" s="143"/>
      <c r="AB22" s="143"/>
      <c r="AC22" s="143"/>
      <c r="AD22" s="143"/>
      <c r="AE22" s="143"/>
      <c r="AF22" s="144"/>
      <c r="AG22" s="109"/>
    </row>
    <row r="23" spans="2:33" ht="31.7" customHeight="1">
      <c r="B23" s="90"/>
      <c r="W23" s="100"/>
      <c r="X23" s="127" t="s">
        <v>13</v>
      </c>
      <c r="Y23" s="128"/>
      <c r="Z23" s="128"/>
      <c r="AA23" s="128"/>
      <c r="AB23" s="128"/>
      <c r="AC23" s="128"/>
      <c r="AD23" s="128"/>
      <c r="AE23" s="128"/>
      <c r="AF23" s="129"/>
      <c r="AG23" s="101"/>
    </row>
    <row r="24" spans="2:33" ht="31.7" customHeight="1">
      <c r="B24" s="90"/>
      <c r="W24" s="100"/>
      <c r="X24" s="145">
        <v>1</v>
      </c>
      <c r="Y24" s="146"/>
      <c r="Z24" s="146"/>
      <c r="AA24" s="146"/>
      <c r="AB24" s="146"/>
      <c r="AC24" s="146"/>
      <c r="AD24" s="146"/>
      <c r="AE24" s="146"/>
      <c r="AF24" s="147"/>
      <c r="AG24" s="101"/>
    </row>
    <row r="25" spans="2:33" ht="24.95" customHeight="1">
      <c r="B25" s="90"/>
      <c r="W25" s="100"/>
      <c r="X25" s="145"/>
      <c r="Y25" s="146"/>
      <c r="Z25" s="146"/>
      <c r="AA25" s="146"/>
      <c r="AB25" s="146"/>
      <c r="AC25" s="146"/>
      <c r="AD25" s="146"/>
      <c r="AE25" s="146"/>
      <c r="AF25" s="147"/>
    </row>
    <row r="26" spans="2:33" ht="27" customHeight="1">
      <c r="B26" s="90"/>
      <c r="W26" s="100"/>
      <c r="X26" s="145"/>
      <c r="Y26" s="146"/>
      <c r="Z26" s="146"/>
      <c r="AA26" s="146"/>
      <c r="AB26" s="146"/>
      <c r="AC26" s="146"/>
      <c r="AD26" s="146"/>
      <c r="AE26" s="146"/>
      <c r="AF26" s="147"/>
    </row>
    <row r="27" spans="2:33" ht="27" customHeight="1">
      <c r="B27" s="90"/>
      <c r="W27" s="100"/>
      <c r="X27" s="130" t="s">
        <v>14</v>
      </c>
      <c r="Y27" s="131"/>
      <c r="Z27" s="131"/>
      <c r="AA27" s="131"/>
      <c r="AB27" s="131"/>
      <c r="AC27" s="131"/>
      <c r="AD27" s="131"/>
      <c r="AE27" s="131"/>
      <c r="AF27" s="132"/>
    </row>
    <row r="28" spans="2:33" ht="27" customHeight="1">
      <c r="B28" s="90"/>
      <c r="W28" s="100"/>
      <c r="X28" s="133">
        <v>1</v>
      </c>
      <c r="Y28" s="134"/>
      <c r="Z28" s="134"/>
      <c r="AA28" s="134"/>
      <c r="AB28" s="134"/>
      <c r="AC28" s="134"/>
      <c r="AD28" s="134"/>
      <c r="AE28" s="134"/>
      <c r="AF28" s="135"/>
    </row>
    <row r="29" spans="2:33">
      <c r="B29" s="90"/>
      <c r="W29" s="100"/>
      <c r="X29" s="133"/>
      <c r="Y29" s="134"/>
      <c r="Z29" s="134"/>
      <c r="AA29" s="134"/>
      <c r="AB29" s="134"/>
      <c r="AC29" s="134"/>
      <c r="AD29" s="134"/>
      <c r="AE29" s="134"/>
      <c r="AF29" s="135"/>
    </row>
    <row r="30" spans="2:33" ht="27" customHeight="1">
      <c r="B30" s="90"/>
      <c r="W30" s="100"/>
      <c r="X30" s="133"/>
      <c r="Y30" s="134"/>
      <c r="Z30" s="134"/>
      <c r="AA30" s="134"/>
      <c r="AB30" s="134"/>
      <c r="AC30" s="134"/>
      <c r="AD30" s="134"/>
      <c r="AE30" s="134"/>
      <c r="AF30" s="135"/>
    </row>
    <row r="31" spans="2:33" ht="27" customHeight="1">
      <c r="B31" s="90"/>
      <c r="W31" s="100"/>
      <c r="X31" s="130" t="s">
        <v>15</v>
      </c>
      <c r="Y31" s="131"/>
      <c r="Z31" s="131"/>
      <c r="AA31" s="131"/>
      <c r="AB31" s="131"/>
      <c r="AC31" s="131"/>
      <c r="AD31" s="131"/>
      <c r="AE31" s="131"/>
      <c r="AF31" s="132"/>
    </row>
    <row r="32" spans="2:33" ht="27" customHeight="1">
      <c r="B32" s="90"/>
      <c r="W32" s="100"/>
      <c r="X32" s="133">
        <v>1</v>
      </c>
      <c r="Y32" s="134"/>
      <c r="Z32" s="134"/>
      <c r="AA32" s="134"/>
      <c r="AB32" s="134"/>
      <c r="AC32" s="134"/>
      <c r="AD32" s="134"/>
      <c r="AE32" s="134"/>
      <c r="AF32" s="135"/>
    </row>
    <row r="33" spans="2:32">
      <c r="B33" s="90"/>
      <c r="W33" s="100"/>
      <c r="X33" s="133"/>
      <c r="Y33" s="134"/>
      <c r="Z33" s="134"/>
      <c r="AA33" s="134"/>
      <c r="AB33" s="134"/>
      <c r="AC33" s="134"/>
      <c r="AD33" s="134"/>
      <c r="AE33" s="134"/>
      <c r="AF33" s="135"/>
    </row>
    <row r="34" spans="2:32" ht="27" customHeight="1">
      <c r="B34" s="90"/>
      <c r="W34" s="100"/>
      <c r="X34" s="133"/>
      <c r="Y34" s="134"/>
      <c r="Z34" s="134"/>
      <c r="AA34" s="134"/>
      <c r="AB34" s="134"/>
      <c r="AC34" s="134"/>
      <c r="AD34" s="134"/>
      <c r="AE34" s="134"/>
      <c r="AF34" s="135"/>
    </row>
    <row r="35" spans="2:32" ht="27" customHeight="1">
      <c r="B35" s="90"/>
      <c r="W35" s="100"/>
      <c r="X35" s="130" t="s">
        <v>16</v>
      </c>
      <c r="Y35" s="131"/>
      <c r="Z35" s="131"/>
      <c r="AA35" s="131"/>
      <c r="AB35" s="131"/>
      <c r="AC35" s="131"/>
      <c r="AD35" s="131"/>
      <c r="AE35" s="131"/>
      <c r="AF35" s="132"/>
    </row>
    <row r="36" spans="2:32" ht="27" customHeight="1">
      <c r="B36" s="90"/>
      <c r="W36" s="100"/>
      <c r="X36" s="133">
        <v>1</v>
      </c>
      <c r="Y36" s="134"/>
      <c r="Z36" s="134"/>
      <c r="AA36" s="134"/>
      <c r="AB36" s="134"/>
      <c r="AC36" s="134"/>
      <c r="AD36" s="134"/>
      <c r="AE36" s="134"/>
      <c r="AF36" s="135"/>
    </row>
    <row r="37" spans="2:32" ht="27" customHeight="1">
      <c r="B37" s="90"/>
      <c r="W37" s="100"/>
      <c r="X37" s="133"/>
      <c r="Y37" s="134"/>
      <c r="Z37" s="134"/>
      <c r="AA37" s="134"/>
      <c r="AB37" s="134"/>
      <c r="AC37" s="134"/>
      <c r="AD37" s="134"/>
      <c r="AE37" s="134"/>
      <c r="AF37" s="135"/>
    </row>
    <row r="38" spans="2:32" ht="27" customHeight="1">
      <c r="B38" s="91"/>
      <c r="C38" s="92"/>
      <c r="D38" s="92"/>
      <c r="E38" s="92"/>
      <c r="F38" s="92"/>
      <c r="G38" s="92"/>
      <c r="H38" s="92"/>
      <c r="I38" s="92"/>
      <c r="J38" s="92"/>
      <c r="K38" s="92"/>
      <c r="L38" s="92"/>
      <c r="M38" s="95"/>
      <c r="N38" s="95"/>
      <c r="O38" s="95"/>
      <c r="P38" s="95"/>
      <c r="Q38" s="95"/>
      <c r="R38" s="95"/>
      <c r="S38" s="95"/>
      <c r="T38" s="95"/>
      <c r="U38" s="95"/>
      <c r="V38" s="92"/>
      <c r="W38" s="104"/>
      <c r="X38" s="136"/>
      <c r="Y38" s="137"/>
      <c r="Z38" s="137"/>
      <c r="AA38" s="137"/>
      <c r="AB38" s="137"/>
      <c r="AC38" s="137"/>
      <c r="AD38" s="137"/>
      <c r="AE38" s="137"/>
      <c r="AF38" s="138"/>
    </row>
  </sheetData>
  <mergeCells count="10">
    <mergeCell ref="X36:AF38"/>
    <mergeCell ref="X21:AF22"/>
    <mergeCell ref="X24:AF26"/>
    <mergeCell ref="X28:AF30"/>
    <mergeCell ref="X32:AF34"/>
    <mergeCell ref="A1:D1"/>
    <mergeCell ref="X23:AF23"/>
    <mergeCell ref="X27:AF27"/>
    <mergeCell ref="X31:AF31"/>
    <mergeCell ref="X35:AF35"/>
  </mergeCells>
  <conditionalFormatting sqref="AM12">
    <cfRule type="cellIs" dxfId="160" priority="1" operator="greaterThan">
      <formula>0.25</formula>
    </cfRule>
    <cfRule type="cellIs" dxfId="159" priority="2" operator="lessThan">
      <formula>0.25</formula>
    </cfRule>
  </conditionalFormatting>
  <conditionalFormatting sqref="AM4:AM11">
    <cfRule type="cellIs" dxfId="158" priority="3" operator="greaterThan">
      <formula>0.25</formula>
    </cfRule>
    <cfRule type="cellIs" dxfId="157" priority="4" operator="lessThan">
      <formula>0.25</formula>
    </cfRule>
  </conditionalFormatting>
  <pageMargins left="0.34930555555555598" right="0.20902777777777801" top="0.20902777777777801" bottom="0.20902777777777801" header="0.20902777777777801" footer="0.20902777777777801"/>
  <pageSetup paperSize="8"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8"/>
  <sheetViews>
    <sheetView showGridLines="0" zoomScale="55" zoomScaleNormal="55" workbookViewId="0">
      <selection activeCell="AK17" sqref="AK17"/>
    </sheetView>
  </sheetViews>
  <sheetFormatPr baseColWidth="10" defaultColWidth="9.140625" defaultRowHeight="12.75"/>
  <cols>
    <col min="1" max="1" width="4.7109375" style="84" customWidth="1"/>
    <col min="2" max="5" width="5.42578125" style="84" customWidth="1"/>
    <col min="6" max="6" width="12.140625" style="84" customWidth="1"/>
    <col min="7" max="7" width="1.7109375" style="84" customWidth="1"/>
    <col min="8" max="8" width="5.42578125" style="84" hidden="1" customWidth="1"/>
    <col min="9" max="9" width="31" style="84" customWidth="1"/>
    <col min="10" max="12" width="5.42578125" style="84" customWidth="1"/>
    <col min="13" max="21" width="5.42578125" style="85" customWidth="1"/>
    <col min="22" max="35" width="5.42578125" style="84" customWidth="1"/>
    <col min="36" max="36" width="1.42578125" style="84" customWidth="1"/>
    <col min="37" max="37" width="24.42578125" style="84" customWidth="1"/>
    <col min="38" max="38" width="15" style="84" customWidth="1"/>
    <col min="39" max="39" width="23.140625" style="84" customWidth="1"/>
    <col min="40" max="40" width="5.42578125" style="84" customWidth="1"/>
    <col min="41" max="42" width="9.140625" style="84"/>
    <col min="43" max="43" width="13.85546875" style="84"/>
    <col min="44" max="46" width="9.140625" style="84"/>
    <col min="47" max="47" width="17.28515625" style="84"/>
    <col min="48" max="16384" width="9.140625" style="84"/>
  </cols>
  <sheetData>
    <row r="1" spans="1:39" ht="45.95" customHeight="1">
      <c r="A1" s="126"/>
      <c r="B1" s="126"/>
      <c r="C1" s="126"/>
      <c r="D1" s="126"/>
      <c r="F1" s="86"/>
      <c r="G1" s="87"/>
      <c r="H1" s="87"/>
      <c r="I1" s="93" t="s">
        <v>18</v>
      </c>
      <c r="J1" s="87"/>
      <c r="K1" s="87"/>
      <c r="L1" s="87"/>
      <c r="M1" s="87"/>
      <c r="N1" s="87"/>
      <c r="O1" s="87"/>
      <c r="P1" s="87"/>
      <c r="Q1" s="87"/>
      <c r="R1" s="87"/>
      <c r="S1" s="87"/>
      <c r="T1" s="87"/>
      <c r="U1" s="87"/>
      <c r="V1" s="87"/>
      <c r="W1" s="87"/>
      <c r="X1" s="87"/>
      <c r="Y1" s="105"/>
      <c r="Z1" s="105"/>
      <c r="AA1" s="105"/>
      <c r="AB1" s="105"/>
      <c r="AC1" s="105"/>
      <c r="AD1" s="105"/>
      <c r="AE1" s="105"/>
      <c r="AF1" s="105"/>
      <c r="AG1" s="105"/>
    </row>
    <row r="3" spans="1:39">
      <c r="R3" s="84"/>
      <c r="S3" s="84"/>
      <c r="V3" s="85"/>
      <c r="W3" s="85"/>
      <c r="X3" s="85"/>
      <c r="Y3" s="85"/>
      <c r="Z3" s="85"/>
      <c r="AA3" s="85"/>
      <c r="AB3" s="85"/>
      <c r="AC3" s="85"/>
      <c r="AD3" s="85"/>
      <c r="AE3" s="85"/>
      <c r="AF3" s="85"/>
      <c r="AL3" s="11" t="s">
        <v>1</v>
      </c>
      <c r="AM3" s="11" t="s">
        <v>2</v>
      </c>
    </row>
    <row r="4" spans="1:39">
      <c r="B4" s="88"/>
      <c r="C4" s="89"/>
      <c r="D4" s="89"/>
      <c r="E4" s="89"/>
      <c r="F4" s="89"/>
      <c r="G4" s="89"/>
      <c r="H4" s="89"/>
      <c r="I4" s="89"/>
      <c r="J4" s="89"/>
      <c r="K4" s="89"/>
      <c r="L4" s="89"/>
      <c r="M4" s="94"/>
      <c r="N4" s="94"/>
      <c r="O4" s="94"/>
      <c r="P4" s="94"/>
      <c r="Q4" s="94"/>
      <c r="R4" s="89"/>
      <c r="S4" s="89"/>
      <c r="T4" s="94"/>
      <c r="U4" s="94"/>
      <c r="V4" s="94"/>
      <c r="W4" s="96"/>
      <c r="X4" s="97"/>
      <c r="Y4" s="94"/>
      <c r="Z4" s="94"/>
      <c r="AA4" s="94"/>
      <c r="AB4" s="94"/>
      <c r="AC4" s="94"/>
      <c r="AD4" s="94"/>
      <c r="AE4" s="94"/>
      <c r="AF4" s="96"/>
      <c r="AK4" s="106" t="s">
        <v>3</v>
      </c>
      <c r="AL4" s="15">
        <v>1</v>
      </c>
      <c r="AM4" s="107">
        <f>+PROD!E35</f>
        <v>0.95800000000000007</v>
      </c>
    </row>
    <row r="5" spans="1:39">
      <c r="B5" s="90"/>
      <c r="R5" s="84"/>
      <c r="S5" s="84"/>
      <c r="V5" s="85"/>
      <c r="W5" s="98"/>
      <c r="X5" s="99"/>
      <c r="Y5" s="85"/>
      <c r="Z5" s="85"/>
      <c r="AA5" s="85"/>
      <c r="AB5" s="85"/>
      <c r="AC5" s="85"/>
      <c r="AD5" s="85"/>
      <c r="AE5" s="85"/>
      <c r="AF5" s="98"/>
      <c r="AK5" s="106" t="s">
        <v>5</v>
      </c>
      <c r="AL5" s="15">
        <v>1</v>
      </c>
      <c r="AM5" s="107">
        <f>+ETUDES!E32</f>
        <v>1</v>
      </c>
    </row>
    <row r="6" spans="1:39">
      <c r="B6" s="90"/>
      <c r="R6" s="84"/>
      <c r="S6" s="84"/>
      <c r="V6" s="85"/>
      <c r="W6" s="98"/>
      <c r="X6" s="99"/>
      <c r="Y6" s="85"/>
      <c r="Z6" s="85"/>
      <c r="AA6" s="85"/>
      <c r="AB6" s="85"/>
      <c r="AC6" s="85"/>
      <c r="AD6" s="85"/>
      <c r="AE6" s="85"/>
      <c r="AF6" s="98"/>
      <c r="AK6" s="106" t="s">
        <v>6</v>
      </c>
      <c r="AL6" s="15">
        <v>1</v>
      </c>
      <c r="AM6" s="107">
        <f>+DEV!E34</f>
        <v>0.89071428571428568</v>
      </c>
    </row>
    <row r="7" spans="1:39">
      <c r="B7" s="90"/>
      <c r="R7" s="84"/>
      <c r="S7" s="84"/>
      <c r="V7" s="85"/>
      <c r="W7" s="98"/>
      <c r="X7" s="99"/>
      <c r="Y7" s="85"/>
      <c r="Z7" s="85"/>
      <c r="AA7" s="85"/>
      <c r="AB7" s="85"/>
      <c r="AC7" s="85"/>
      <c r="AD7" s="85"/>
      <c r="AE7" s="85"/>
      <c r="AF7" s="98"/>
      <c r="AK7" s="106" t="s">
        <v>7</v>
      </c>
      <c r="AL7" s="15">
        <v>1</v>
      </c>
      <c r="AM7" s="107">
        <f>+DSI!E35</f>
        <v>0.755</v>
      </c>
    </row>
    <row r="8" spans="1:39">
      <c r="B8" s="90"/>
      <c r="R8" s="84"/>
      <c r="S8" s="84"/>
      <c r="V8" s="85"/>
      <c r="W8" s="98"/>
      <c r="X8" s="99"/>
      <c r="Y8" s="85"/>
      <c r="Z8" s="85"/>
      <c r="AA8" s="85"/>
      <c r="AB8" s="85"/>
      <c r="AC8" s="85"/>
      <c r="AD8" s="85"/>
      <c r="AE8" s="85"/>
      <c r="AF8" s="98"/>
      <c r="AK8" s="106" t="s">
        <v>8</v>
      </c>
      <c r="AL8" s="15">
        <v>1</v>
      </c>
      <c r="AM8" s="107">
        <f>+ADMIN!E37</f>
        <v>0.9821428571428571</v>
      </c>
    </row>
    <row r="9" spans="1:39">
      <c r="B9" s="90"/>
      <c r="R9" s="84"/>
      <c r="S9" s="84"/>
      <c r="V9" s="85"/>
      <c r="W9" s="98"/>
      <c r="X9" s="99"/>
      <c r="Y9" s="85"/>
      <c r="Z9" s="85"/>
      <c r="AA9" s="85"/>
      <c r="AB9" s="85"/>
      <c r="AC9" s="85"/>
      <c r="AD9" s="85"/>
      <c r="AE9" s="85"/>
      <c r="AF9" s="98"/>
      <c r="AK9" s="106" t="s">
        <v>9</v>
      </c>
      <c r="AL9" s="15">
        <v>1</v>
      </c>
      <c r="AM9" s="107" t="e">
        <f>+RH!#REF!</f>
        <v>#REF!</v>
      </c>
    </row>
    <row r="10" spans="1:39">
      <c r="B10" s="90"/>
      <c r="R10" s="84"/>
      <c r="S10" s="84"/>
      <c r="V10" s="85"/>
      <c r="W10" s="98"/>
      <c r="X10" s="99"/>
      <c r="Y10" s="85"/>
      <c r="Z10" s="85"/>
      <c r="AA10" s="85"/>
      <c r="AB10" s="85"/>
      <c r="AC10" s="85"/>
      <c r="AD10" s="85"/>
      <c r="AE10" s="85"/>
      <c r="AF10" s="98"/>
      <c r="AK10" s="106" t="s">
        <v>10</v>
      </c>
      <c r="AL10" s="15">
        <v>1</v>
      </c>
      <c r="AM10" s="107" t="e">
        <f>+SG!#REF!</f>
        <v>#REF!</v>
      </c>
    </row>
    <row r="11" spans="1:39">
      <c r="B11" s="90"/>
      <c r="R11" s="84"/>
      <c r="S11" s="84"/>
      <c r="V11" s="85"/>
      <c r="W11" s="98"/>
      <c r="X11" s="99"/>
      <c r="Y11" s="85"/>
      <c r="Z11" s="85"/>
      <c r="AA11" s="85"/>
      <c r="AB11" s="85"/>
      <c r="AC11" s="85"/>
      <c r="AD11" s="85"/>
      <c r="AE11" s="85"/>
      <c r="AF11" s="98"/>
      <c r="AK11" s="106" t="s">
        <v>11</v>
      </c>
      <c r="AL11" s="15">
        <v>1</v>
      </c>
      <c r="AM11" s="108" t="e">
        <f>(PROD!H35+ETUDES!H32+DEV!H34+DSI!H35+RH!#REF!+ADMIN!H37+SG!#REF!)/(PROD!G35+ETUDES!G32+DEV!G34+DSI!G35+RH!#REF!++ADMIN!G37+SG!#REF!)</f>
        <v>#REF!</v>
      </c>
    </row>
    <row r="12" spans="1:39">
      <c r="B12" s="90"/>
      <c r="R12" s="84"/>
      <c r="S12" s="84"/>
      <c r="V12" s="85"/>
      <c r="W12" s="98"/>
      <c r="X12" s="99"/>
      <c r="Y12" s="85"/>
      <c r="Z12" s="85"/>
      <c r="AA12" s="85"/>
      <c r="AB12" s="85"/>
      <c r="AC12" s="85"/>
      <c r="AD12" s="85"/>
      <c r="AE12" s="85"/>
      <c r="AF12" s="98"/>
    </row>
    <row r="13" spans="1:39">
      <c r="B13" s="90"/>
      <c r="R13" s="84"/>
      <c r="S13" s="84"/>
      <c r="V13" s="85"/>
      <c r="W13" s="98"/>
      <c r="X13" s="99"/>
      <c r="Y13" s="85"/>
      <c r="Z13" s="85"/>
      <c r="AA13" s="85"/>
      <c r="AB13" s="85"/>
      <c r="AC13" s="85"/>
      <c r="AD13" s="85"/>
      <c r="AE13" s="85"/>
      <c r="AF13" s="98"/>
    </row>
    <row r="14" spans="1:39">
      <c r="B14" s="90"/>
      <c r="R14" s="84"/>
      <c r="S14" s="84"/>
      <c r="V14" s="85"/>
      <c r="W14" s="98"/>
      <c r="X14" s="99"/>
      <c r="Y14" s="85"/>
      <c r="Z14" s="85"/>
      <c r="AA14" s="85"/>
      <c r="AB14" s="85"/>
      <c r="AC14" s="85"/>
      <c r="AD14" s="85"/>
      <c r="AE14" s="85"/>
      <c r="AF14" s="98"/>
    </row>
    <row r="15" spans="1:39">
      <c r="B15" s="90"/>
      <c r="R15" s="84"/>
      <c r="S15" s="84"/>
      <c r="V15" s="85"/>
      <c r="W15" s="98"/>
      <c r="X15" s="99"/>
      <c r="Y15" s="85"/>
      <c r="Z15" s="85"/>
      <c r="AA15" s="85"/>
      <c r="AB15" s="85"/>
      <c r="AC15" s="85"/>
      <c r="AD15" s="85"/>
      <c r="AE15" s="85"/>
      <c r="AF15" s="98"/>
    </row>
    <row r="16" spans="1:39">
      <c r="B16" s="90"/>
      <c r="W16" s="100"/>
      <c r="X16" s="90"/>
      <c r="AF16" s="100"/>
    </row>
    <row r="17" spans="2:33">
      <c r="B17" s="90"/>
      <c r="W17" s="100"/>
      <c r="X17" s="90"/>
      <c r="AF17" s="100"/>
    </row>
    <row r="18" spans="2:33">
      <c r="B18" s="90"/>
      <c r="W18" s="100"/>
      <c r="X18" s="90"/>
      <c r="AF18" s="100"/>
    </row>
    <row r="19" spans="2:33">
      <c r="B19" s="90"/>
      <c r="W19" s="100"/>
      <c r="X19" s="90"/>
      <c r="AF19" s="100"/>
    </row>
    <row r="20" spans="2:33" ht="60" customHeight="1">
      <c r="B20" s="90"/>
      <c r="Q20" s="101"/>
      <c r="W20" s="100"/>
      <c r="X20" s="91"/>
      <c r="Y20" s="92"/>
      <c r="Z20" s="92"/>
      <c r="AA20" s="92"/>
      <c r="AB20" s="92"/>
      <c r="AC20" s="92"/>
      <c r="AD20" s="92"/>
      <c r="AE20" s="92"/>
      <c r="AF20" s="104"/>
    </row>
    <row r="21" spans="2:33" ht="26.25">
      <c r="B21" s="90"/>
      <c r="S21" s="102"/>
      <c r="T21" s="102"/>
      <c r="U21" s="102"/>
      <c r="V21" s="102"/>
      <c r="W21" s="103"/>
      <c r="X21" s="139" t="s">
        <v>12</v>
      </c>
      <c r="Y21" s="140"/>
      <c r="Z21" s="140"/>
      <c r="AA21" s="140"/>
      <c r="AB21" s="140"/>
      <c r="AC21" s="140"/>
      <c r="AD21" s="140"/>
      <c r="AE21" s="140"/>
      <c r="AF21" s="141"/>
      <c r="AG21" s="102"/>
    </row>
    <row r="22" spans="2:33" ht="27" customHeight="1">
      <c r="B22" s="90"/>
      <c r="W22" s="100"/>
      <c r="X22" s="142"/>
      <c r="Y22" s="143"/>
      <c r="Z22" s="143"/>
      <c r="AA22" s="143"/>
      <c r="AB22" s="143"/>
      <c r="AC22" s="143"/>
      <c r="AD22" s="143"/>
      <c r="AE22" s="143"/>
      <c r="AF22" s="144"/>
      <c r="AG22" s="109"/>
    </row>
    <row r="23" spans="2:33" ht="31.7" customHeight="1">
      <c r="B23" s="90"/>
      <c r="W23" s="100"/>
      <c r="X23" s="127" t="s">
        <v>13</v>
      </c>
      <c r="Y23" s="128"/>
      <c r="Z23" s="128"/>
      <c r="AA23" s="128"/>
      <c r="AB23" s="128"/>
      <c r="AC23" s="128"/>
      <c r="AD23" s="128"/>
      <c r="AE23" s="128"/>
      <c r="AF23" s="129"/>
      <c r="AG23" s="101"/>
    </row>
    <row r="24" spans="2:33" ht="31.7" customHeight="1">
      <c r="B24" s="90"/>
      <c r="W24" s="100"/>
      <c r="X24" s="145">
        <v>1</v>
      </c>
      <c r="Y24" s="146"/>
      <c r="Z24" s="146"/>
      <c r="AA24" s="146"/>
      <c r="AB24" s="146"/>
      <c r="AC24" s="146"/>
      <c r="AD24" s="146"/>
      <c r="AE24" s="146"/>
      <c r="AF24" s="147"/>
      <c r="AG24" s="101"/>
    </row>
    <row r="25" spans="2:33" ht="24.95" customHeight="1">
      <c r="B25" s="90"/>
      <c r="W25" s="100"/>
      <c r="X25" s="145"/>
      <c r="Y25" s="146"/>
      <c r="Z25" s="146"/>
      <c r="AA25" s="146"/>
      <c r="AB25" s="146"/>
      <c r="AC25" s="146"/>
      <c r="AD25" s="146"/>
      <c r="AE25" s="146"/>
      <c r="AF25" s="147"/>
    </row>
    <row r="26" spans="2:33" ht="27" customHeight="1">
      <c r="B26" s="90"/>
      <c r="W26" s="100"/>
      <c r="X26" s="145"/>
      <c r="Y26" s="146"/>
      <c r="Z26" s="146"/>
      <c r="AA26" s="146"/>
      <c r="AB26" s="146"/>
      <c r="AC26" s="146"/>
      <c r="AD26" s="146"/>
      <c r="AE26" s="146"/>
      <c r="AF26" s="147"/>
    </row>
    <row r="27" spans="2:33" ht="27" customHeight="1">
      <c r="B27" s="90"/>
      <c r="W27" s="100"/>
      <c r="X27" s="130" t="s">
        <v>14</v>
      </c>
      <c r="Y27" s="131"/>
      <c r="Z27" s="131"/>
      <c r="AA27" s="131"/>
      <c r="AB27" s="131"/>
      <c r="AC27" s="131"/>
      <c r="AD27" s="131"/>
      <c r="AE27" s="131"/>
      <c r="AF27" s="132"/>
    </row>
    <row r="28" spans="2:33" ht="27" customHeight="1">
      <c r="B28" s="90"/>
      <c r="W28" s="100"/>
      <c r="X28" s="133">
        <v>1</v>
      </c>
      <c r="Y28" s="134"/>
      <c r="Z28" s="134"/>
      <c r="AA28" s="134"/>
      <c r="AB28" s="134"/>
      <c r="AC28" s="134"/>
      <c r="AD28" s="134"/>
      <c r="AE28" s="134"/>
      <c r="AF28" s="135"/>
    </row>
    <row r="29" spans="2:33">
      <c r="B29" s="90"/>
      <c r="W29" s="100"/>
      <c r="X29" s="133"/>
      <c r="Y29" s="134"/>
      <c r="Z29" s="134"/>
      <c r="AA29" s="134"/>
      <c r="AB29" s="134"/>
      <c r="AC29" s="134"/>
      <c r="AD29" s="134"/>
      <c r="AE29" s="134"/>
      <c r="AF29" s="135"/>
    </row>
    <row r="30" spans="2:33" ht="27" customHeight="1">
      <c r="B30" s="90"/>
      <c r="W30" s="100"/>
      <c r="X30" s="133"/>
      <c r="Y30" s="134"/>
      <c r="Z30" s="134"/>
      <c r="AA30" s="134"/>
      <c r="AB30" s="134"/>
      <c r="AC30" s="134"/>
      <c r="AD30" s="134"/>
      <c r="AE30" s="134"/>
      <c r="AF30" s="135"/>
    </row>
    <row r="31" spans="2:33" ht="27" customHeight="1">
      <c r="B31" s="90"/>
      <c r="W31" s="100"/>
      <c r="X31" s="130" t="s">
        <v>15</v>
      </c>
      <c r="Y31" s="131"/>
      <c r="Z31" s="131"/>
      <c r="AA31" s="131"/>
      <c r="AB31" s="131"/>
      <c r="AC31" s="131"/>
      <c r="AD31" s="131"/>
      <c r="AE31" s="131"/>
      <c r="AF31" s="132"/>
    </row>
    <row r="32" spans="2:33" ht="27" customHeight="1">
      <c r="B32" s="90"/>
      <c r="W32" s="100"/>
      <c r="X32" s="133">
        <v>1</v>
      </c>
      <c r="Y32" s="134"/>
      <c r="Z32" s="134"/>
      <c r="AA32" s="134"/>
      <c r="AB32" s="134"/>
      <c r="AC32" s="134"/>
      <c r="AD32" s="134"/>
      <c r="AE32" s="134"/>
      <c r="AF32" s="135"/>
    </row>
    <row r="33" spans="2:32">
      <c r="B33" s="90"/>
      <c r="W33" s="100"/>
      <c r="X33" s="133"/>
      <c r="Y33" s="134"/>
      <c r="Z33" s="134"/>
      <c r="AA33" s="134"/>
      <c r="AB33" s="134"/>
      <c r="AC33" s="134"/>
      <c r="AD33" s="134"/>
      <c r="AE33" s="134"/>
      <c r="AF33" s="135"/>
    </row>
    <row r="34" spans="2:32" ht="27" customHeight="1">
      <c r="B34" s="90"/>
      <c r="W34" s="100"/>
      <c r="X34" s="133"/>
      <c r="Y34" s="134"/>
      <c r="Z34" s="134"/>
      <c r="AA34" s="134"/>
      <c r="AB34" s="134"/>
      <c r="AC34" s="134"/>
      <c r="AD34" s="134"/>
      <c r="AE34" s="134"/>
      <c r="AF34" s="135"/>
    </row>
    <row r="35" spans="2:32" ht="27" customHeight="1">
      <c r="B35" s="90"/>
      <c r="W35" s="100"/>
      <c r="X35" s="130" t="s">
        <v>16</v>
      </c>
      <c r="Y35" s="131"/>
      <c r="Z35" s="131"/>
      <c r="AA35" s="131"/>
      <c r="AB35" s="131"/>
      <c r="AC35" s="131"/>
      <c r="AD35" s="131"/>
      <c r="AE35" s="131"/>
      <c r="AF35" s="132"/>
    </row>
    <row r="36" spans="2:32" ht="27" customHeight="1">
      <c r="B36" s="90"/>
      <c r="W36" s="100"/>
      <c r="X36" s="133">
        <v>1</v>
      </c>
      <c r="Y36" s="134"/>
      <c r="Z36" s="134"/>
      <c r="AA36" s="134"/>
      <c r="AB36" s="134"/>
      <c r="AC36" s="134"/>
      <c r="AD36" s="134"/>
      <c r="AE36" s="134"/>
      <c r="AF36" s="135"/>
    </row>
    <row r="37" spans="2:32" ht="27" customHeight="1">
      <c r="B37" s="90"/>
      <c r="W37" s="100"/>
      <c r="X37" s="133"/>
      <c r="Y37" s="134"/>
      <c r="Z37" s="134"/>
      <c r="AA37" s="134"/>
      <c r="AB37" s="134"/>
      <c r="AC37" s="134"/>
      <c r="AD37" s="134"/>
      <c r="AE37" s="134"/>
      <c r="AF37" s="135"/>
    </row>
    <row r="38" spans="2:32" ht="27" customHeight="1">
      <c r="B38" s="91"/>
      <c r="C38" s="92"/>
      <c r="D38" s="92"/>
      <c r="E38" s="92"/>
      <c r="F38" s="92"/>
      <c r="G38" s="92"/>
      <c r="H38" s="92"/>
      <c r="I38" s="92"/>
      <c r="J38" s="92"/>
      <c r="K38" s="92"/>
      <c r="L38" s="92"/>
      <c r="M38" s="95"/>
      <c r="N38" s="95"/>
      <c r="O38" s="95"/>
      <c r="P38" s="95"/>
      <c r="Q38" s="95"/>
      <c r="R38" s="95"/>
      <c r="S38" s="95"/>
      <c r="T38" s="95"/>
      <c r="U38" s="95"/>
      <c r="V38" s="92"/>
      <c r="W38" s="104"/>
      <c r="X38" s="136"/>
      <c r="Y38" s="137"/>
      <c r="Z38" s="137"/>
      <c r="AA38" s="137"/>
      <c r="AB38" s="137"/>
      <c r="AC38" s="137"/>
      <c r="AD38" s="137"/>
      <c r="AE38" s="137"/>
      <c r="AF38" s="138"/>
    </row>
  </sheetData>
  <mergeCells count="10">
    <mergeCell ref="X36:AF38"/>
    <mergeCell ref="X21:AF22"/>
    <mergeCell ref="X24:AF26"/>
    <mergeCell ref="X28:AF30"/>
    <mergeCell ref="X32:AF34"/>
    <mergeCell ref="A1:D1"/>
    <mergeCell ref="X23:AF23"/>
    <mergeCell ref="X27:AF27"/>
    <mergeCell ref="X31:AF31"/>
    <mergeCell ref="X35:AF35"/>
  </mergeCells>
  <conditionalFormatting sqref="AM11">
    <cfRule type="cellIs" dxfId="156" priority="1" operator="greaterThan">
      <formula>0.25</formula>
    </cfRule>
    <cfRule type="cellIs" dxfId="155" priority="2" operator="lessThan">
      <formula>0.25</formula>
    </cfRule>
  </conditionalFormatting>
  <conditionalFormatting sqref="AM4:AM10">
    <cfRule type="cellIs" dxfId="154" priority="3" operator="greaterThan">
      <formula>0.25</formula>
    </cfRule>
    <cfRule type="cellIs" dxfId="153" priority="4" operator="lessThan">
      <formula>0.25</formula>
    </cfRule>
  </conditionalFormatting>
  <pageMargins left="0.34930555555555598" right="0.20902777777777801" top="0.20902777777777801" bottom="0.20902777777777801" header="0.20902777777777801" footer="0.20902777777777801"/>
  <pageSetup paperSize="8" orientation="landscape"/>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9"/>
  <sheetViews>
    <sheetView topLeftCell="B22" workbookViewId="0">
      <selection activeCell="M31" sqref="M31"/>
    </sheetView>
  </sheetViews>
  <sheetFormatPr baseColWidth="10" defaultColWidth="9.140625" defaultRowHeight="15"/>
  <cols>
    <col min="1" max="1" width="9.140625" style="2" customWidth="1"/>
    <col min="2" max="2" width="77.28515625" customWidth="1"/>
    <col min="3" max="3" width="12.140625" customWidth="1"/>
    <col min="5" max="5" width="11.140625" customWidth="1"/>
    <col min="6" max="6" width="12.28515625" customWidth="1"/>
    <col min="7" max="7" width="11.85546875" customWidth="1"/>
    <col min="8" max="8" width="8.7109375" style="3" customWidth="1"/>
    <col min="11" max="11" width="12.85546875"/>
    <col min="13" max="13" width="42.85546875" customWidth="1"/>
    <col min="14" max="14" width="19.5703125" customWidth="1"/>
    <col min="15" max="15" width="9.140625" style="40"/>
    <col min="16" max="16" width="12.42578125" customWidth="1"/>
    <col min="17" max="17" width="15.7109375" customWidth="1"/>
  </cols>
  <sheetData>
    <row r="1" spans="1:17">
      <c r="A1" s="4" t="s">
        <v>19</v>
      </c>
      <c r="B1" s="5"/>
      <c r="C1" s="5"/>
    </row>
    <row r="3" spans="1:17" s="1" customFormat="1" ht="30">
      <c r="A3" s="6" t="s">
        <v>20</v>
      </c>
      <c r="B3" s="7" t="s">
        <v>21</v>
      </c>
      <c r="C3" s="7" t="s">
        <v>22</v>
      </c>
      <c r="D3" s="7" t="s">
        <v>23</v>
      </c>
      <c r="E3" s="7" t="s">
        <v>24</v>
      </c>
      <c r="F3" s="7" t="s">
        <v>25</v>
      </c>
      <c r="G3" s="7" t="s">
        <v>26</v>
      </c>
      <c r="H3" s="8" t="s">
        <v>27</v>
      </c>
      <c r="I3" s="7" t="s">
        <v>28</v>
      </c>
      <c r="J3" s="7" t="s">
        <v>29</v>
      </c>
      <c r="K3" s="7" t="s">
        <v>30</v>
      </c>
      <c r="L3" s="7" t="s">
        <v>31</v>
      </c>
      <c r="M3" s="7" t="s">
        <v>32</v>
      </c>
      <c r="N3" s="7" t="s">
        <v>33</v>
      </c>
      <c r="O3" s="7" t="s">
        <v>34</v>
      </c>
      <c r="P3" s="7" t="s">
        <v>35</v>
      </c>
      <c r="Q3" s="7" t="s">
        <v>36</v>
      </c>
    </row>
    <row r="4" spans="1:17" ht="22.5">
      <c r="A4" s="9" t="s">
        <v>37</v>
      </c>
      <c r="B4" s="37" t="s">
        <v>38</v>
      </c>
      <c r="C4" s="15">
        <v>0.9</v>
      </c>
      <c r="D4" s="15">
        <v>0.9</v>
      </c>
      <c r="E4" s="12">
        <f>+IFERROR(AVERAGE(I4:L4),"-")</f>
        <v>0.81852499999999995</v>
      </c>
      <c r="F4" s="13" t="str">
        <f t="shared" ref="F4:F9" si="0">IF(E4="-","m",IF(E4&lt;D4,"L","J"))</f>
        <v>L</v>
      </c>
      <c r="G4" s="22">
        <v>10</v>
      </c>
      <c r="H4" s="14">
        <f t="shared" ref="H4:H9" si="1">IF(E4="-","-",IF(E4&gt;D4,G4,G4*E4/D4))</f>
        <v>9.0947222222222219</v>
      </c>
      <c r="I4" s="52">
        <v>0.9</v>
      </c>
      <c r="J4" s="15">
        <v>0.94</v>
      </c>
      <c r="K4" s="15">
        <v>0.87</v>
      </c>
      <c r="L4" s="15">
        <v>0.56410000000000005</v>
      </c>
      <c r="M4" s="28"/>
      <c r="N4" s="28"/>
      <c r="O4" s="16"/>
      <c r="P4" s="28"/>
      <c r="Q4" s="16"/>
    </row>
    <row r="5" spans="1:17" ht="45">
      <c r="A5" s="9" t="s">
        <v>39</v>
      </c>
      <c r="B5" s="37" t="s">
        <v>40</v>
      </c>
      <c r="C5" s="11">
        <v>39</v>
      </c>
      <c r="D5" s="76">
        <v>13</v>
      </c>
      <c r="E5" s="16">
        <f>+IFERROR(SUM(I5:K5),"-")</f>
        <v>30</v>
      </c>
      <c r="F5" s="13" t="str">
        <f t="shared" si="0"/>
        <v>J</v>
      </c>
      <c r="G5" s="22">
        <v>20</v>
      </c>
      <c r="H5" s="14">
        <f t="shared" si="1"/>
        <v>20</v>
      </c>
      <c r="I5" s="11">
        <v>3</v>
      </c>
      <c r="J5" s="11">
        <v>7</v>
      </c>
      <c r="K5" s="11">
        <v>20</v>
      </c>
      <c r="L5" s="110" t="s">
        <v>41</v>
      </c>
      <c r="M5" s="80" t="s">
        <v>42</v>
      </c>
      <c r="N5" s="78" t="s">
        <v>43</v>
      </c>
      <c r="O5" s="81" t="s">
        <v>44</v>
      </c>
      <c r="P5" s="82">
        <v>43251</v>
      </c>
      <c r="Q5" s="81" t="s">
        <v>45</v>
      </c>
    </row>
    <row r="6" spans="1:17" ht="45">
      <c r="A6" s="9" t="s">
        <v>46</v>
      </c>
      <c r="B6" s="37" t="s">
        <v>47</v>
      </c>
      <c r="C6" s="15">
        <v>1</v>
      </c>
      <c r="D6" s="15">
        <v>0.33</v>
      </c>
      <c r="E6" s="12">
        <f>K6</f>
        <v>0.75</v>
      </c>
      <c r="F6" s="13" t="str">
        <f t="shared" si="0"/>
        <v>J</v>
      </c>
      <c r="G6" s="22">
        <v>10</v>
      </c>
      <c r="H6" s="14">
        <f t="shared" si="1"/>
        <v>10</v>
      </c>
      <c r="I6" s="27">
        <v>0.75</v>
      </c>
      <c r="J6" s="15">
        <v>0.75</v>
      </c>
      <c r="K6" s="15">
        <v>0.75</v>
      </c>
      <c r="L6" s="15">
        <v>0.75</v>
      </c>
      <c r="M6" s="80" t="s">
        <v>48</v>
      </c>
      <c r="N6" s="78" t="s">
        <v>49</v>
      </c>
      <c r="O6" s="81" t="s">
        <v>44</v>
      </c>
      <c r="P6" s="82">
        <v>43464</v>
      </c>
      <c r="Q6" s="81" t="s">
        <v>45</v>
      </c>
    </row>
    <row r="7" spans="1:17" ht="75">
      <c r="A7" s="9" t="s">
        <v>50</v>
      </c>
      <c r="B7" s="37" t="s">
        <v>51</v>
      </c>
      <c r="C7" s="15">
        <v>0.95</v>
      </c>
      <c r="D7" s="15">
        <v>0.95</v>
      </c>
      <c r="E7" s="12">
        <f>AVERAGE(I7:L7)</f>
        <v>0.90999999999999992</v>
      </c>
      <c r="F7" s="13" t="str">
        <f t="shared" si="0"/>
        <v>L</v>
      </c>
      <c r="G7" s="22">
        <v>10</v>
      </c>
      <c r="H7" s="14">
        <f t="shared" si="1"/>
        <v>9.5789473684210531</v>
      </c>
      <c r="I7" s="110" t="s">
        <v>41</v>
      </c>
      <c r="J7" s="110" t="s">
        <v>41</v>
      </c>
      <c r="K7" s="15">
        <v>0.82</v>
      </c>
      <c r="L7" s="15">
        <v>1</v>
      </c>
      <c r="M7" s="78" t="s">
        <v>52</v>
      </c>
      <c r="N7" s="78" t="s">
        <v>53</v>
      </c>
      <c r="O7" s="81" t="s">
        <v>44</v>
      </c>
      <c r="P7" s="82">
        <v>43220</v>
      </c>
      <c r="Q7" s="81" t="s">
        <v>54</v>
      </c>
    </row>
    <row r="8" spans="1:17" ht="45">
      <c r="A8" s="9" t="s">
        <v>55</v>
      </c>
      <c r="B8" s="37" t="s">
        <v>56</v>
      </c>
      <c r="C8" s="15">
        <v>0.98</v>
      </c>
      <c r="D8" s="15">
        <v>0.98</v>
      </c>
      <c r="E8" s="12">
        <f>+IFERROR(AVERAGE(I8:K8),"-")</f>
        <v>0.78333333333333333</v>
      </c>
      <c r="F8" s="13" t="str">
        <f t="shared" si="0"/>
        <v>L</v>
      </c>
      <c r="G8" s="22">
        <v>20</v>
      </c>
      <c r="H8" s="14">
        <f t="shared" si="1"/>
        <v>15.986394557823129</v>
      </c>
      <c r="I8" s="27">
        <v>0.65</v>
      </c>
      <c r="J8" s="15">
        <v>0.7</v>
      </c>
      <c r="K8" s="15">
        <v>1</v>
      </c>
      <c r="L8" s="15">
        <v>1</v>
      </c>
      <c r="M8" s="78" t="s">
        <v>57</v>
      </c>
      <c r="N8" s="80" t="s">
        <v>53</v>
      </c>
      <c r="O8" s="81" t="s">
        <v>44</v>
      </c>
      <c r="P8" s="82">
        <v>43220</v>
      </c>
      <c r="Q8" s="81" t="s">
        <v>54</v>
      </c>
    </row>
    <row r="9" spans="1:17" ht="60">
      <c r="A9" s="9" t="s">
        <v>58</v>
      </c>
      <c r="B9" s="37" t="s">
        <v>59</v>
      </c>
      <c r="C9" s="11">
        <v>1</v>
      </c>
      <c r="D9" s="11">
        <v>1</v>
      </c>
      <c r="E9" s="16">
        <f>+IFERROR(AVERAGE(I9:K9),"-")</f>
        <v>1</v>
      </c>
      <c r="F9" s="13" t="str">
        <f t="shared" si="0"/>
        <v>J</v>
      </c>
      <c r="G9" s="22">
        <v>30</v>
      </c>
      <c r="H9" s="14">
        <f t="shared" si="1"/>
        <v>30</v>
      </c>
      <c r="I9" s="110" t="s">
        <v>41</v>
      </c>
      <c r="J9" s="110" t="s">
        <v>41</v>
      </c>
      <c r="K9" s="11">
        <v>1</v>
      </c>
      <c r="L9" s="110" t="s">
        <v>41</v>
      </c>
      <c r="M9" s="78" t="s">
        <v>60</v>
      </c>
      <c r="N9" s="78" t="s">
        <v>61</v>
      </c>
      <c r="O9" s="81" t="s">
        <v>44</v>
      </c>
      <c r="P9" s="82">
        <v>43235</v>
      </c>
      <c r="Q9" s="81" t="s">
        <v>54</v>
      </c>
    </row>
    <row r="10" spans="1:17" ht="22.5">
      <c r="B10" s="17" t="s">
        <v>62</v>
      </c>
      <c r="C10" s="18">
        <v>1</v>
      </c>
      <c r="D10" s="18">
        <v>0.25</v>
      </c>
      <c r="E10" s="19">
        <f>H10/G10</f>
        <v>0.94660064148466405</v>
      </c>
      <c r="F10" s="13" t="str">
        <f>IF(E10="-","m",IF(E10&lt;C10,"L","J"))</f>
        <v>L</v>
      </c>
      <c r="G10" s="11">
        <f>SUMIF(H4:H9,"&gt;0",G4:G9)</f>
        <v>100</v>
      </c>
      <c r="H10" s="14">
        <f>SUM(H4:H9)</f>
        <v>94.660064148466404</v>
      </c>
    </row>
    <row r="11" spans="1:17">
      <c r="E11" s="20"/>
    </row>
    <row r="12" spans="1:17">
      <c r="A12" s="4" t="s">
        <v>63</v>
      </c>
      <c r="B12" s="5"/>
      <c r="C12" s="5"/>
      <c r="F12" s="20"/>
    </row>
    <row r="14" spans="1:17" ht="30">
      <c r="A14" s="6" t="s">
        <v>20</v>
      </c>
      <c r="B14" s="7" t="s">
        <v>21</v>
      </c>
      <c r="C14" s="7" t="s">
        <v>22</v>
      </c>
      <c r="D14" s="7" t="s">
        <v>23</v>
      </c>
      <c r="E14" s="7" t="s">
        <v>24</v>
      </c>
      <c r="F14" s="7" t="s">
        <v>25</v>
      </c>
      <c r="G14" s="7" t="s">
        <v>26</v>
      </c>
      <c r="H14" s="8" t="s">
        <v>64</v>
      </c>
      <c r="I14" s="7" t="s">
        <v>28</v>
      </c>
      <c r="J14" s="7" t="s">
        <v>29</v>
      </c>
      <c r="K14" s="7" t="s">
        <v>30</v>
      </c>
      <c r="L14" s="7" t="s">
        <v>31</v>
      </c>
      <c r="M14" s="7" t="s">
        <v>32</v>
      </c>
      <c r="N14" s="7" t="s">
        <v>33</v>
      </c>
      <c r="O14" s="7" t="s">
        <v>34</v>
      </c>
      <c r="P14" s="7" t="s">
        <v>35</v>
      </c>
      <c r="Q14" s="7" t="s">
        <v>36</v>
      </c>
    </row>
    <row r="15" spans="1:17" ht="22.5">
      <c r="A15" s="9" t="s">
        <v>37</v>
      </c>
      <c r="B15" s="10" t="s">
        <v>65</v>
      </c>
      <c r="C15" s="21">
        <f>3*20*12</f>
        <v>720</v>
      </c>
      <c r="D15" s="41">
        <f>3*20*4</f>
        <v>240</v>
      </c>
      <c r="E15" s="16">
        <f>SUM(I15:L15)</f>
        <v>220</v>
      </c>
      <c r="F15" s="13" t="str">
        <f t="shared" ref="F15:F18" si="2">IF(E15="-","m",IF(E15&lt;D15,"L","J"))</f>
        <v>L</v>
      </c>
      <c r="G15" s="22">
        <v>20</v>
      </c>
      <c r="H15" s="14">
        <f>IF(E15="-","-",IF(E15&gt;D15,G15,G15*E15/D15))</f>
        <v>18.333333333333332</v>
      </c>
      <c r="I15" s="11">
        <v>30</v>
      </c>
      <c r="J15" s="11">
        <v>47</v>
      </c>
      <c r="K15" s="11">
        <v>104</v>
      </c>
      <c r="L15" s="11">
        <v>39</v>
      </c>
      <c r="M15" s="28"/>
      <c r="N15" s="28"/>
      <c r="O15" s="16"/>
      <c r="P15" s="28"/>
      <c r="Q15" s="28"/>
    </row>
    <row r="16" spans="1:17" ht="22.5">
      <c r="A16" s="9" t="s">
        <v>39</v>
      </c>
      <c r="B16" s="23" t="s">
        <v>66</v>
      </c>
      <c r="C16" s="21"/>
      <c r="D16" s="41"/>
      <c r="E16" s="16"/>
      <c r="F16" s="13"/>
      <c r="G16" s="22"/>
      <c r="H16" s="14"/>
      <c r="I16" s="11"/>
      <c r="J16" s="11"/>
      <c r="K16" s="11"/>
      <c r="L16" s="11">
        <v>31</v>
      </c>
      <c r="M16" s="28"/>
      <c r="N16" s="28"/>
      <c r="O16" s="16"/>
      <c r="P16" s="28"/>
      <c r="Q16" s="28"/>
    </row>
    <row r="17" spans="1:17" ht="22.5">
      <c r="A17" s="9" t="s">
        <v>46</v>
      </c>
      <c r="B17" s="10" t="s">
        <v>67</v>
      </c>
      <c r="C17" s="21">
        <f>C15*90/100</f>
        <v>648</v>
      </c>
      <c r="D17" s="41">
        <f>D15*90/100</f>
        <v>216</v>
      </c>
      <c r="E17" s="16">
        <f>SUM(I17:L17)</f>
        <v>131</v>
      </c>
      <c r="F17" s="13" t="str">
        <f t="shared" si="2"/>
        <v>L</v>
      </c>
      <c r="G17" s="22">
        <v>20</v>
      </c>
      <c r="H17" s="14">
        <f>IF(E17="-","-",IF(E17&gt;D17,G17,G17*E17/D17))</f>
        <v>12.12962962962963</v>
      </c>
      <c r="I17" s="11">
        <v>27</v>
      </c>
      <c r="J17" s="11">
        <v>35</v>
      </c>
      <c r="K17" s="11">
        <v>47</v>
      </c>
      <c r="L17" s="11">
        <v>22</v>
      </c>
      <c r="M17" s="28"/>
      <c r="N17" s="28"/>
      <c r="O17" s="16"/>
      <c r="P17" s="28"/>
      <c r="Q17" s="28"/>
    </row>
    <row r="18" spans="1:17" ht="22.5">
      <c r="A18" s="9" t="s">
        <v>50</v>
      </c>
      <c r="B18" s="10" t="s">
        <v>68</v>
      </c>
      <c r="C18" s="21">
        <f>C17*90/100</f>
        <v>583.20000000000005</v>
      </c>
      <c r="D18" s="41">
        <f>D17*90/100</f>
        <v>194.4</v>
      </c>
      <c r="E18" s="24">
        <f>SUM(I18:L18)</f>
        <v>123</v>
      </c>
      <c r="F18" s="13" t="str">
        <f t="shared" si="2"/>
        <v>L</v>
      </c>
      <c r="G18" s="22">
        <v>20</v>
      </c>
      <c r="H18" s="14">
        <f>IF(E18="-","-",IF(E18&gt;D18,G18,G18*E18/D18))</f>
        <v>12.654320987654321</v>
      </c>
      <c r="I18" s="34">
        <v>27</v>
      </c>
      <c r="J18" s="34">
        <v>33</v>
      </c>
      <c r="K18" s="34">
        <v>41</v>
      </c>
      <c r="L18" s="34">
        <v>22</v>
      </c>
      <c r="M18" s="28"/>
      <c r="N18" s="28"/>
      <c r="O18" s="16"/>
      <c r="P18" s="28"/>
      <c r="Q18" s="28"/>
    </row>
    <row r="19" spans="1:17" ht="22.5">
      <c r="A19" s="9" t="s">
        <v>55</v>
      </c>
      <c r="B19" s="23" t="s">
        <v>69</v>
      </c>
      <c r="C19" s="21"/>
      <c r="D19" s="41"/>
      <c r="E19" s="24"/>
      <c r="F19" s="13"/>
      <c r="G19" s="22"/>
      <c r="H19" s="14"/>
      <c r="I19" s="34"/>
      <c r="J19" s="34"/>
      <c r="K19" s="34"/>
      <c r="L19" s="34">
        <v>15</v>
      </c>
      <c r="M19" s="28"/>
      <c r="N19" s="28"/>
      <c r="O19" s="16"/>
      <c r="P19" s="28"/>
      <c r="Q19" s="28"/>
    </row>
    <row r="20" spans="1:17" ht="22.5">
      <c r="A20" s="9" t="s">
        <v>58</v>
      </c>
      <c r="B20" s="25" t="s">
        <v>70</v>
      </c>
      <c r="C20" s="15">
        <v>0.02</v>
      </c>
      <c r="D20" s="15">
        <v>0.02</v>
      </c>
      <c r="E20" s="12">
        <f>AVERAGE(I20:L20)</f>
        <v>0.12576774193548387</v>
      </c>
      <c r="F20" s="13" t="str">
        <f>IF(E20="-","m",IF(E20&lt;D20,"J","L"))</f>
        <v>L</v>
      </c>
      <c r="G20" s="22">
        <v>20</v>
      </c>
      <c r="H20" s="14">
        <f>IF(E20="-","-",IF(E20&gt;D20,G20,G20*E20/D20))</f>
        <v>20</v>
      </c>
      <c r="I20" s="15">
        <v>0</v>
      </c>
      <c r="J20" s="15">
        <v>0</v>
      </c>
      <c r="K20" s="49">
        <v>1.9199999999999998E-2</v>
      </c>
      <c r="L20" s="49">
        <f>L19/L16</f>
        <v>0.4838709677419355</v>
      </c>
      <c r="M20" s="28"/>
      <c r="N20" s="28"/>
      <c r="O20" s="16"/>
      <c r="P20" s="16"/>
      <c r="Q20" s="16"/>
    </row>
    <row r="21" spans="1:17" ht="21" customHeight="1">
      <c r="A21" s="9" t="s">
        <v>71</v>
      </c>
      <c r="B21" s="25" t="s">
        <v>72</v>
      </c>
      <c r="C21" s="18">
        <v>0.98</v>
      </c>
      <c r="D21" s="18">
        <v>0.98</v>
      </c>
      <c r="E21" s="12">
        <f>AVERAGE(I21:L21)</f>
        <v>1</v>
      </c>
      <c r="F21" s="13" t="str">
        <f>IF(E21="-","m",IF(E21&gt;=D21,"J","L"))</f>
        <v>J</v>
      </c>
      <c r="G21" s="22">
        <v>20</v>
      </c>
      <c r="H21" s="14">
        <f>IF(E21="-","-",IF(E21&gt;D21,G21,G21*E21/D21))</f>
        <v>20</v>
      </c>
      <c r="I21" s="111" t="s">
        <v>41</v>
      </c>
      <c r="J21" s="18">
        <v>1</v>
      </c>
      <c r="K21" s="18">
        <v>1</v>
      </c>
      <c r="L21" s="18">
        <v>1</v>
      </c>
      <c r="M21" s="28"/>
      <c r="N21" s="28"/>
      <c r="O21" s="16"/>
      <c r="P21" s="28"/>
      <c r="Q21" s="28"/>
    </row>
    <row r="22" spans="1:17" ht="22.5">
      <c r="B22" s="17" t="s">
        <v>73</v>
      </c>
      <c r="C22" s="18">
        <v>1</v>
      </c>
      <c r="D22" s="18">
        <v>1</v>
      </c>
      <c r="E22" s="19">
        <f>H22/G22</f>
        <v>0.83117283950617293</v>
      </c>
      <c r="F22" s="13" t="str">
        <f>IF(E22="-","m",IF(E22&lt;D22,"L","J"))</f>
        <v>L</v>
      </c>
      <c r="G22" s="11">
        <f>SUM(G14:G21)</f>
        <v>100</v>
      </c>
      <c r="H22" s="14">
        <f>SUM(H14:H21)</f>
        <v>83.117283950617292</v>
      </c>
    </row>
    <row r="23" spans="1:17">
      <c r="K23" s="83"/>
      <c r="L23" s="83"/>
    </row>
    <row r="24" spans="1:17">
      <c r="A24" s="4"/>
      <c r="B24" s="77" t="s">
        <v>74</v>
      </c>
      <c r="C24" s="5"/>
      <c r="F24" s="20" t="s">
        <v>75</v>
      </c>
    </row>
    <row r="26" spans="1:17" ht="15" customHeight="1">
      <c r="A26" s="6" t="s">
        <v>76</v>
      </c>
      <c r="B26" s="7" t="s">
        <v>21</v>
      </c>
      <c r="C26" s="7" t="s">
        <v>77</v>
      </c>
      <c r="D26" s="148" t="s">
        <v>78</v>
      </c>
      <c r="E26" s="148"/>
      <c r="F26" s="148"/>
      <c r="G26" s="148"/>
      <c r="H26" s="148"/>
      <c r="I26" s="148"/>
      <c r="J26" s="148"/>
      <c r="K26" s="148"/>
      <c r="L26" s="148"/>
    </row>
    <row r="27" spans="1:17" ht="49.5" customHeight="1">
      <c r="A27" s="9" t="s">
        <v>79</v>
      </c>
      <c r="B27" s="78" t="s">
        <v>80</v>
      </c>
      <c r="C27" s="27">
        <v>1</v>
      </c>
      <c r="D27" s="149" t="s">
        <v>175</v>
      </c>
      <c r="E27" s="150"/>
      <c r="F27" s="150"/>
      <c r="G27" s="150"/>
      <c r="H27" s="150"/>
      <c r="I27" s="150"/>
      <c r="J27" s="150"/>
      <c r="K27" s="150"/>
      <c r="L27" s="150"/>
    </row>
    <row r="28" spans="1:17" ht="15" customHeight="1">
      <c r="A28" s="9" t="s">
        <v>79</v>
      </c>
      <c r="B28" s="79" t="s">
        <v>81</v>
      </c>
      <c r="C28" s="27">
        <v>1</v>
      </c>
      <c r="D28" s="151" t="s">
        <v>82</v>
      </c>
      <c r="E28" s="151"/>
      <c r="F28" s="151"/>
      <c r="G28" s="151"/>
      <c r="H28" s="151"/>
      <c r="I28" s="151"/>
      <c r="J28" s="151"/>
      <c r="K28" s="151"/>
      <c r="L28" s="151"/>
    </row>
    <row r="29" spans="1:17" ht="54.75" customHeight="1">
      <c r="A29" s="9" t="s">
        <v>83</v>
      </c>
      <c r="B29" s="79" t="s">
        <v>84</v>
      </c>
      <c r="C29" s="52">
        <v>1</v>
      </c>
      <c r="D29" s="150" t="s">
        <v>178</v>
      </c>
      <c r="E29" s="150"/>
      <c r="F29" s="150"/>
      <c r="G29" s="150"/>
      <c r="H29" s="150"/>
      <c r="I29" s="150"/>
      <c r="J29" s="150"/>
      <c r="K29" s="150"/>
      <c r="L29" s="150"/>
    </row>
    <row r="30" spans="1:17" ht="15" customHeight="1">
      <c r="A30" s="9" t="s">
        <v>83</v>
      </c>
      <c r="B30" s="35" t="s">
        <v>85</v>
      </c>
      <c r="C30" s="27">
        <v>0.75</v>
      </c>
      <c r="D30" s="152" t="s">
        <v>86</v>
      </c>
      <c r="E30" s="152"/>
      <c r="F30" s="152"/>
      <c r="G30" s="152"/>
      <c r="H30" s="152"/>
      <c r="I30" s="152"/>
      <c r="J30" s="152"/>
      <c r="K30" s="152"/>
      <c r="L30" s="152"/>
    </row>
    <row r="31" spans="1:17" ht="37.5" customHeight="1">
      <c r="A31" s="9" t="s">
        <v>83</v>
      </c>
      <c r="B31" s="80" t="s">
        <v>87</v>
      </c>
      <c r="C31" s="27">
        <v>0.5</v>
      </c>
      <c r="D31" s="152" t="s">
        <v>88</v>
      </c>
      <c r="E31" s="153"/>
      <c r="F31" s="153"/>
      <c r="G31" s="153"/>
      <c r="H31" s="153"/>
      <c r="I31" s="153"/>
      <c r="J31" s="153"/>
      <c r="K31" s="153"/>
      <c r="L31" s="153"/>
    </row>
    <row r="32" spans="1:17" ht="34.5" customHeight="1">
      <c r="A32" s="9" t="s">
        <v>89</v>
      </c>
      <c r="B32" s="35" t="s">
        <v>90</v>
      </c>
      <c r="C32" s="27">
        <v>0.8</v>
      </c>
      <c r="D32" s="152" t="s">
        <v>91</v>
      </c>
      <c r="E32" s="153"/>
      <c r="F32" s="153"/>
      <c r="G32" s="153"/>
      <c r="H32" s="153"/>
      <c r="I32" s="153"/>
      <c r="J32" s="153"/>
      <c r="K32" s="153"/>
      <c r="L32" s="153"/>
    </row>
    <row r="33" spans="1:12" ht="39" customHeight="1">
      <c r="A33" s="9" t="s">
        <v>89</v>
      </c>
      <c r="B33" s="35" t="s">
        <v>92</v>
      </c>
      <c r="C33" s="27">
        <v>0.5</v>
      </c>
      <c r="D33" s="150" t="s">
        <v>184</v>
      </c>
      <c r="E33" s="150"/>
      <c r="F33" s="150"/>
      <c r="G33" s="150"/>
      <c r="H33" s="150"/>
      <c r="I33" s="150"/>
      <c r="J33" s="150"/>
      <c r="K33" s="150"/>
      <c r="L33" s="150"/>
    </row>
    <row r="34" spans="1:12" ht="27" customHeight="1">
      <c r="A34" s="9" t="s">
        <v>89</v>
      </c>
      <c r="B34" s="80" t="s">
        <v>93</v>
      </c>
      <c r="C34" s="27">
        <v>0.5</v>
      </c>
      <c r="D34" s="152" t="s">
        <v>94</v>
      </c>
      <c r="E34" s="152"/>
      <c r="F34" s="152"/>
      <c r="G34" s="152"/>
      <c r="H34" s="152"/>
      <c r="I34" s="152"/>
      <c r="J34" s="152"/>
      <c r="K34" s="152"/>
      <c r="L34" s="152"/>
    </row>
    <row r="35" spans="1:12" ht="37.5" customHeight="1">
      <c r="A35" s="9" t="s">
        <v>89</v>
      </c>
      <c r="B35" s="35" t="s">
        <v>95</v>
      </c>
      <c r="C35" s="27">
        <v>0.5</v>
      </c>
      <c r="D35" s="150" t="s">
        <v>176</v>
      </c>
      <c r="E35" s="149"/>
      <c r="F35" s="149"/>
      <c r="G35" s="149"/>
      <c r="H35" s="149"/>
      <c r="I35" s="149"/>
      <c r="J35" s="149"/>
      <c r="K35" s="149"/>
      <c r="L35" s="149"/>
    </row>
    <row r="36" spans="1:12" ht="15" customHeight="1">
      <c r="A36" s="9" t="s">
        <v>96</v>
      </c>
      <c r="B36" s="80" t="s">
        <v>97</v>
      </c>
      <c r="C36" s="18">
        <v>0.5</v>
      </c>
      <c r="D36" s="152" t="s">
        <v>98</v>
      </c>
      <c r="E36" s="153"/>
      <c r="F36" s="153"/>
      <c r="G36" s="153"/>
      <c r="H36" s="153"/>
      <c r="I36" s="153"/>
      <c r="J36" s="153"/>
      <c r="K36" s="153"/>
      <c r="L36" s="153"/>
    </row>
    <row r="37" spans="1:12" ht="36" customHeight="1">
      <c r="A37" s="9" t="s">
        <v>96</v>
      </c>
      <c r="B37" s="35" t="s">
        <v>99</v>
      </c>
      <c r="C37" s="18">
        <v>0.25</v>
      </c>
      <c r="D37" s="150" t="s">
        <v>177</v>
      </c>
      <c r="E37" s="150"/>
      <c r="F37" s="150"/>
      <c r="G37" s="150"/>
      <c r="H37" s="150"/>
      <c r="I37" s="150"/>
      <c r="J37" s="150"/>
      <c r="K37" s="150"/>
      <c r="L37" s="150"/>
    </row>
    <row r="38" spans="1:12">
      <c r="A38" s="9" t="s">
        <v>89</v>
      </c>
      <c r="B38" s="69" t="s">
        <v>100</v>
      </c>
      <c r="C38" s="18">
        <v>1</v>
      </c>
      <c r="D38" s="154"/>
      <c r="E38" s="154"/>
      <c r="F38" s="154"/>
      <c r="G38" s="154"/>
      <c r="H38" s="154"/>
      <c r="I38" s="154"/>
      <c r="J38" s="154"/>
      <c r="K38" s="154"/>
      <c r="L38" s="154"/>
    </row>
    <row r="39" spans="1:12">
      <c r="A39" s="9" t="s">
        <v>89</v>
      </c>
      <c r="B39" s="35" t="s">
        <v>101</v>
      </c>
      <c r="C39" s="27">
        <v>1</v>
      </c>
      <c r="D39" s="155"/>
      <c r="E39" s="155"/>
      <c r="F39" s="155"/>
      <c r="G39" s="155"/>
      <c r="H39" s="155"/>
      <c r="I39" s="155"/>
      <c r="J39" s="155"/>
      <c r="K39" s="155"/>
      <c r="L39" s="155"/>
    </row>
  </sheetData>
  <mergeCells count="14">
    <mergeCell ref="D36:L36"/>
    <mergeCell ref="D37:L37"/>
    <mergeCell ref="D38:L38"/>
    <mergeCell ref="D39:L39"/>
    <mergeCell ref="D31:L31"/>
    <mergeCell ref="D32:L32"/>
    <mergeCell ref="D33:L33"/>
    <mergeCell ref="D34:L34"/>
    <mergeCell ref="D35:L35"/>
    <mergeCell ref="D26:L26"/>
    <mergeCell ref="D27:L27"/>
    <mergeCell ref="D28:L28"/>
    <mergeCell ref="D29:L29"/>
    <mergeCell ref="D30:L30"/>
  </mergeCells>
  <conditionalFormatting sqref="I21">
    <cfRule type="containsText" dxfId="152" priority="1" operator="containsText" text="L">
      <formula>NOT(ISERROR(SEARCH("L",I21)))</formula>
    </cfRule>
    <cfRule type="containsText" dxfId="151" priority="2" operator="containsText" text="J">
      <formula>NOT(ISERROR(SEARCH("J",I21)))</formula>
    </cfRule>
  </conditionalFormatting>
  <conditionalFormatting sqref="F4:F10">
    <cfRule type="containsText" dxfId="150" priority="15" operator="containsText" text="l">
      <formula>NOT(ISERROR(SEARCH("l",F4)))</formula>
    </cfRule>
    <cfRule type="containsText" dxfId="149" priority="24" operator="containsText" text="L">
      <formula>NOT(ISERROR(SEARCH("L",F4)))</formula>
    </cfRule>
    <cfRule type="containsText" dxfId="148" priority="25" operator="containsText" text="J">
      <formula>NOT(ISERROR(SEARCH("J",F4)))</formula>
    </cfRule>
  </conditionalFormatting>
  <conditionalFormatting sqref="F15:F22">
    <cfRule type="containsText" dxfId="147" priority="9" operator="containsText" text="l">
      <formula>NOT(ISERROR(SEARCH("l",F15)))</formula>
    </cfRule>
    <cfRule type="containsText" dxfId="146" priority="10" operator="containsText" text="L">
      <formula>NOT(ISERROR(SEARCH("L",F15)))</formula>
    </cfRule>
    <cfRule type="containsText" dxfId="145" priority="11" operator="containsText" text="J">
      <formula>NOT(ISERROR(SEARCH("J",F15)))</formula>
    </cfRule>
  </conditionalFormatting>
  <conditionalFormatting sqref="H4:H10">
    <cfRule type="containsText" dxfId="144" priority="59" operator="containsText" text="L">
      <formula>NOT(ISERROR(SEARCH("L",H4)))</formula>
    </cfRule>
    <cfRule type="containsText" dxfId="143" priority="60" operator="containsText" text="J">
      <formula>NOT(ISERROR(SEARCH("J",H4)))</formula>
    </cfRule>
  </conditionalFormatting>
  <conditionalFormatting sqref="H15:H21">
    <cfRule type="containsText" dxfId="142" priority="34" operator="containsText" text="L">
      <formula>NOT(ISERROR(SEARCH("L",H15)))</formula>
    </cfRule>
    <cfRule type="containsText" dxfId="141" priority="35" operator="containsText" text="J">
      <formula>NOT(ISERROR(SEARCH("J",H15)))</formula>
    </cfRule>
  </conditionalFormatting>
  <pageMargins left="0.75" right="0.75" top="1" bottom="1" header="0.51180555555555596" footer="0.51180555555555596"/>
  <pageSetup paperSize="9"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5"/>
  <sheetViews>
    <sheetView workbookViewId="0">
      <selection activeCell="M6" sqref="M6"/>
    </sheetView>
  </sheetViews>
  <sheetFormatPr baseColWidth="10" defaultColWidth="9.140625" defaultRowHeight="15"/>
  <cols>
    <col min="1" max="1" width="3.5703125" style="2" customWidth="1"/>
    <col min="2" max="2" width="48.7109375" customWidth="1"/>
    <col min="3" max="3" width="9.42578125" customWidth="1"/>
    <col min="5" max="5" width="11.140625" customWidth="1"/>
    <col min="6" max="6" width="12.28515625" customWidth="1"/>
    <col min="7" max="7" width="9" customWidth="1"/>
    <col min="8" max="8" width="8.7109375" style="3" customWidth="1"/>
    <col min="13" max="13" width="52.42578125" customWidth="1"/>
    <col min="14" max="14" width="19.5703125" customWidth="1"/>
    <col min="16" max="16" width="10.28515625" customWidth="1"/>
    <col min="17" max="17" width="15.7109375" customWidth="1"/>
  </cols>
  <sheetData>
    <row r="1" spans="1:17">
      <c r="A1" s="4" t="s">
        <v>19</v>
      </c>
      <c r="B1" s="5"/>
      <c r="C1" s="5"/>
    </row>
    <row r="3" spans="1:17" s="1" customFormat="1" ht="30">
      <c r="A3" s="6" t="s">
        <v>20</v>
      </c>
      <c r="B3" s="7" t="s">
        <v>21</v>
      </c>
      <c r="C3" s="7" t="s">
        <v>22</v>
      </c>
      <c r="D3" s="7" t="s">
        <v>102</v>
      </c>
      <c r="E3" s="7" t="s">
        <v>103</v>
      </c>
      <c r="F3" s="7" t="s">
        <v>25</v>
      </c>
      <c r="G3" s="7" t="s">
        <v>26</v>
      </c>
      <c r="H3" s="8" t="s">
        <v>27</v>
      </c>
      <c r="I3" s="7" t="s">
        <v>28</v>
      </c>
      <c r="J3" s="7" t="s">
        <v>29</v>
      </c>
      <c r="K3" s="7" t="s">
        <v>30</v>
      </c>
      <c r="L3" s="7" t="s">
        <v>31</v>
      </c>
      <c r="M3" s="7" t="s">
        <v>32</v>
      </c>
      <c r="N3" s="7" t="s">
        <v>33</v>
      </c>
      <c r="O3" s="7" t="s">
        <v>34</v>
      </c>
      <c r="P3" s="7" t="s">
        <v>35</v>
      </c>
      <c r="Q3" s="7" t="s">
        <v>36</v>
      </c>
    </row>
    <row r="4" spans="1:17" ht="22.5">
      <c r="A4" s="57" t="s">
        <v>37</v>
      </c>
      <c r="B4" s="58" t="s">
        <v>104</v>
      </c>
      <c r="C4" s="59">
        <v>40</v>
      </c>
      <c r="D4" s="59">
        <v>40</v>
      </c>
      <c r="E4" s="60">
        <f>+IFERROR(AVERAGE(I4:K4),"-")</f>
        <v>100</v>
      </c>
      <c r="F4" s="61" t="str">
        <f t="shared" ref="F4:F9" si="0">IF(E4="-","m",IF(E4&lt;D4,"L","J"))</f>
        <v>J</v>
      </c>
      <c r="G4" s="62">
        <v>20</v>
      </c>
      <c r="H4" s="63">
        <f>IFERROR(IF(E4="-","-",IF(E4&gt;D4,G4,G4*E4/D4)),"-")</f>
        <v>20</v>
      </c>
      <c r="I4" s="112" t="s">
        <v>41</v>
      </c>
      <c r="J4" s="59">
        <v>100</v>
      </c>
      <c r="K4" s="65" t="s">
        <v>41</v>
      </c>
      <c r="L4" s="66"/>
      <c r="M4" s="28"/>
      <c r="N4" s="28"/>
      <c r="O4" s="16"/>
      <c r="P4" s="16"/>
      <c r="Q4" s="16"/>
    </row>
    <row r="5" spans="1:17" ht="90">
      <c r="A5" s="9" t="s">
        <v>39</v>
      </c>
      <c r="B5" s="10" t="s">
        <v>105</v>
      </c>
      <c r="C5" s="64">
        <v>8</v>
      </c>
      <c r="D5" s="64">
        <v>8</v>
      </c>
      <c r="E5" s="16">
        <f>+IFERROR(AVERAGE(I5:K5),"-")</f>
        <v>9.75</v>
      </c>
      <c r="F5" s="13" t="str">
        <f t="shared" si="0"/>
        <v>J</v>
      </c>
      <c r="G5" s="22">
        <v>20</v>
      </c>
      <c r="H5" s="14">
        <f>IFERROR(IF(E5="-","-",IF(E5&gt;D5,G5,G5*E5/D5)),"-")</f>
        <v>20</v>
      </c>
      <c r="I5" s="29">
        <v>8.65</v>
      </c>
      <c r="J5" s="29">
        <v>8.6</v>
      </c>
      <c r="K5" s="67">
        <v>12</v>
      </c>
      <c r="L5" s="68">
        <v>0.22</v>
      </c>
      <c r="M5" s="123" t="s">
        <v>195</v>
      </c>
      <c r="N5" s="28"/>
      <c r="O5" s="16"/>
      <c r="P5" s="16"/>
      <c r="Q5" s="16"/>
    </row>
    <row r="6" spans="1:17" ht="45">
      <c r="A6" s="9" t="s">
        <v>46</v>
      </c>
      <c r="B6" s="10" t="s">
        <v>106</v>
      </c>
      <c r="C6" s="15">
        <v>0.97</v>
      </c>
      <c r="D6" s="15">
        <v>0.97</v>
      </c>
      <c r="E6" s="12">
        <f>K6</f>
        <v>0.91200000000000003</v>
      </c>
      <c r="F6" s="13" t="str">
        <f t="shared" si="0"/>
        <v>L</v>
      </c>
      <c r="G6" s="22">
        <v>20</v>
      </c>
      <c r="H6" s="14">
        <f>IFERROR(IF(E6="-","-",IF(E6&gt;D6,G6,G6*E6/D6)),"-")</f>
        <v>18.80412371134021</v>
      </c>
      <c r="I6" s="70">
        <f>100%-11.61%</f>
        <v>0.88390000000000002</v>
      </c>
      <c r="J6" s="70">
        <f>100%-11.61%</f>
        <v>0.88390000000000002</v>
      </c>
      <c r="K6" s="71">
        <v>0.91200000000000003</v>
      </c>
      <c r="L6" s="72">
        <v>0.96260000000000001</v>
      </c>
      <c r="M6" s="123" t="s">
        <v>196</v>
      </c>
      <c r="N6" s="28"/>
      <c r="O6" s="16"/>
      <c r="P6" s="16"/>
      <c r="Q6" s="16"/>
    </row>
    <row r="7" spans="1:17" ht="22.5">
      <c r="A7" s="9" t="s">
        <v>50</v>
      </c>
      <c r="B7" s="10" t="s">
        <v>107</v>
      </c>
      <c r="C7" s="15">
        <v>0.97</v>
      </c>
      <c r="D7" s="15">
        <v>0.97</v>
      </c>
      <c r="E7" s="12" t="str">
        <f>K7</f>
        <v>-</v>
      </c>
      <c r="F7" s="13" t="str">
        <f t="shared" si="0"/>
        <v>m</v>
      </c>
      <c r="G7" s="22">
        <v>20</v>
      </c>
      <c r="H7" s="14" t="str">
        <f>IFERROR(IF(E7="-","-",IF(E7&gt;D7,G7,G7*E7/D7)),"-")</f>
        <v>-</v>
      </c>
      <c r="I7" s="110" t="s">
        <v>41</v>
      </c>
      <c r="J7" s="110" t="s">
        <v>41</v>
      </c>
      <c r="K7" s="73" t="s">
        <v>41</v>
      </c>
      <c r="L7" s="46"/>
      <c r="M7" s="122" t="s">
        <v>197</v>
      </c>
      <c r="N7" s="122" t="s">
        <v>198</v>
      </c>
      <c r="O7" s="124" t="s">
        <v>199</v>
      </c>
      <c r="P7" s="125">
        <v>43251</v>
      </c>
      <c r="Q7" s="124"/>
    </row>
    <row r="8" spans="1:17" ht="30">
      <c r="A8" s="9" t="s">
        <v>55</v>
      </c>
      <c r="B8" s="10" t="s">
        <v>108</v>
      </c>
      <c r="C8" s="15">
        <v>1</v>
      </c>
      <c r="D8" s="15">
        <v>1</v>
      </c>
      <c r="E8" s="12">
        <f>+IFERROR(AVERAGE(I8:K8),"-")</f>
        <v>0.93189999999999995</v>
      </c>
      <c r="F8" s="13" t="str">
        <f t="shared" si="0"/>
        <v>L</v>
      </c>
      <c r="G8" s="22">
        <v>20</v>
      </c>
      <c r="H8" s="14">
        <f>IFERROR(IF(E8="-","-",IF(E8&gt;D8,G8,G8*E8/D8)),"-")</f>
        <v>18.637999999999998</v>
      </c>
      <c r="I8" s="110" t="s">
        <v>41</v>
      </c>
      <c r="J8" s="15">
        <v>0.93</v>
      </c>
      <c r="K8" s="74">
        <v>0.93379999999999996</v>
      </c>
      <c r="L8" s="75">
        <v>0.95800000000000007</v>
      </c>
      <c r="M8" s="123" t="s">
        <v>200</v>
      </c>
      <c r="N8" s="28"/>
      <c r="O8" s="16"/>
      <c r="P8" s="16"/>
      <c r="Q8" s="16"/>
    </row>
    <row r="9" spans="1:17" ht="22.5">
      <c r="B9" s="17" t="s">
        <v>62</v>
      </c>
      <c r="C9" s="18">
        <v>1</v>
      </c>
      <c r="D9" s="18">
        <v>0.25</v>
      </c>
      <c r="E9" s="19">
        <f>IFERROR(H9/G9,"-")</f>
        <v>0.77442123711340205</v>
      </c>
      <c r="F9" s="13" t="str">
        <f t="shared" si="0"/>
        <v>J</v>
      </c>
      <c r="G9" s="11">
        <f>SUM(G4:G8)</f>
        <v>100</v>
      </c>
      <c r="H9" s="14">
        <f>SUM(H4:H8)</f>
        <v>77.442123711340201</v>
      </c>
    </row>
    <row r="10" spans="1:17">
      <c r="E10" s="20"/>
    </row>
    <row r="11" spans="1:17">
      <c r="A11" s="4" t="s">
        <v>63</v>
      </c>
      <c r="B11" s="5"/>
      <c r="C11" s="5"/>
      <c r="F11" s="20"/>
    </row>
    <row r="13" spans="1:17" ht="30">
      <c r="A13" s="6" t="s">
        <v>20</v>
      </c>
      <c r="B13" s="7" t="s">
        <v>21</v>
      </c>
      <c r="C13" s="7" t="s">
        <v>22</v>
      </c>
      <c r="D13" s="7" t="s">
        <v>23</v>
      </c>
      <c r="E13" s="7" t="s">
        <v>24</v>
      </c>
      <c r="F13" s="7" t="s">
        <v>25</v>
      </c>
      <c r="G13" s="7" t="s">
        <v>26</v>
      </c>
      <c r="H13" s="8" t="s">
        <v>64</v>
      </c>
      <c r="I13" s="7" t="s">
        <v>28</v>
      </c>
      <c r="J13" s="7" t="s">
        <v>29</v>
      </c>
      <c r="K13" s="7" t="s">
        <v>30</v>
      </c>
      <c r="L13" s="7" t="s">
        <v>31</v>
      </c>
      <c r="M13" s="7" t="s">
        <v>32</v>
      </c>
      <c r="N13" s="7" t="s">
        <v>33</v>
      </c>
      <c r="O13" s="7" t="s">
        <v>34</v>
      </c>
      <c r="P13" s="7" t="s">
        <v>35</v>
      </c>
      <c r="Q13" s="7" t="s">
        <v>36</v>
      </c>
    </row>
    <row r="14" spans="1:17" ht="22.5">
      <c r="A14" s="9" t="s">
        <v>37</v>
      </c>
      <c r="B14" s="10" t="s">
        <v>65</v>
      </c>
      <c r="C14" s="21">
        <f>3*20*12*12</f>
        <v>8640</v>
      </c>
      <c r="D14" s="21">
        <f>3*20*4*12</f>
        <v>2880</v>
      </c>
      <c r="E14" s="16">
        <f>SUM(I14:L14)</f>
        <v>806</v>
      </c>
      <c r="F14" s="13" t="str">
        <f t="shared" ref="F14:F21" si="1">IF(E14="-","m",IF(E14&lt;D14,"L","J"))</f>
        <v>L</v>
      </c>
      <c r="G14" s="22">
        <v>20</v>
      </c>
      <c r="H14" s="14">
        <f>IFERROR(IF(E14="-","-",IF(E14&gt;D14,G14,G14*E14/D14)),"-")</f>
        <v>5.5972222222222223</v>
      </c>
      <c r="I14" s="16">
        <v>63</v>
      </c>
      <c r="J14" s="16">
        <v>173</v>
      </c>
      <c r="K14" s="16">
        <v>317</v>
      </c>
      <c r="L14" s="16">
        <v>253</v>
      </c>
      <c r="M14" s="28"/>
      <c r="N14" s="28"/>
      <c r="O14" s="28"/>
      <c r="P14" s="28"/>
      <c r="Q14" s="28"/>
    </row>
    <row r="15" spans="1:17" ht="22.5">
      <c r="A15" s="9" t="s">
        <v>39</v>
      </c>
      <c r="B15" s="23" t="s">
        <v>66</v>
      </c>
      <c r="C15" s="21"/>
      <c r="D15" s="21"/>
      <c r="E15" s="16"/>
      <c r="F15" s="13"/>
      <c r="G15" s="22"/>
      <c r="H15" s="14"/>
      <c r="I15" s="16"/>
      <c r="J15" s="16"/>
      <c r="K15" s="16"/>
      <c r="L15" s="16">
        <v>153</v>
      </c>
      <c r="M15" s="28"/>
      <c r="N15" s="28"/>
      <c r="O15" s="28"/>
      <c r="P15" s="28"/>
      <c r="Q15" s="28"/>
    </row>
    <row r="16" spans="1:17" ht="22.5">
      <c r="A16" s="9" t="s">
        <v>46</v>
      </c>
      <c r="B16" s="10" t="s">
        <v>67</v>
      </c>
      <c r="C16" s="21">
        <f>C14*90/100</f>
        <v>7776</v>
      </c>
      <c r="D16" s="21">
        <f>D14*90/100</f>
        <v>2592</v>
      </c>
      <c r="E16" s="16">
        <f>SUM(I16:L16)</f>
        <v>544</v>
      </c>
      <c r="F16" s="13" t="str">
        <f t="shared" si="1"/>
        <v>L</v>
      </c>
      <c r="G16" s="22">
        <v>20</v>
      </c>
      <c r="H16" s="14">
        <f>IFERROR(IF(E16="-","-",IF(E16&gt;D16,G16,G16*E16/D16)),"-")</f>
        <v>4.1975308641975309</v>
      </c>
      <c r="I16" s="16">
        <v>50</v>
      </c>
      <c r="J16" s="16">
        <v>154</v>
      </c>
      <c r="K16" s="16">
        <v>195</v>
      </c>
      <c r="L16" s="16">
        <v>145</v>
      </c>
      <c r="M16" s="28"/>
      <c r="N16" s="28"/>
      <c r="O16" s="28"/>
      <c r="P16" s="28"/>
      <c r="Q16" s="28"/>
    </row>
    <row r="17" spans="1:17" ht="22.5">
      <c r="A17" s="9" t="s">
        <v>50</v>
      </c>
      <c r="B17" s="10" t="s">
        <v>68</v>
      </c>
      <c r="C17" s="21">
        <f>C16*90/100</f>
        <v>6998.4</v>
      </c>
      <c r="D17" s="21">
        <f>D16*90/100</f>
        <v>2332.8000000000002</v>
      </c>
      <c r="E17" s="16">
        <f>SUM(I17:L17)</f>
        <v>519</v>
      </c>
      <c r="F17" s="13" t="str">
        <f t="shared" si="1"/>
        <v>L</v>
      </c>
      <c r="G17" s="22">
        <v>20</v>
      </c>
      <c r="H17" s="14">
        <f>IFERROR(IF(E17="-","-",IF(E17&gt;D17,G17,G17*E17/D17)),"-")</f>
        <v>4.4495884773662544</v>
      </c>
      <c r="I17" s="16">
        <v>50</v>
      </c>
      <c r="J17" s="16">
        <v>154</v>
      </c>
      <c r="K17" s="16">
        <v>183</v>
      </c>
      <c r="L17" s="16">
        <v>132</v>
      </c>
      <c r="M17" s="28"/>
      <c r="N17" s="28"/>
      <c r="O17" s="28"/>
      <c r="P17" s="28"/>
      <c r="Q17" s="28"/>
    </row>
    <row r="18" spans="1:17" ht="22.5">
      <c r="A18" s="9" t="s">
        <v>55</v>
      </c>
      <c r="B18" s="23" t="s">
        <v>69</v>
      </c>
      <c r="C18" s="21"/>
      <c r="D18" s="21"/>
      <c r="E18" s="16"/>
      <c r="F18" s="13"/>
      <c r="G18" s="22"/>
      <c r="H18" s="14"/>
      <c r="I18" s="16"/>
      <c r="J18" s="16"/>
      <c r="K18" s="16"/>
      <c r="L18" s="16">
        <v>41</v>
      </c>
      <c r="M18" s="28"/>
      <c r="N18" s="28"/>
      <c r="O18" s="28"/>
      <c r="P18" s="28"/>
      <c r="Q18" s="28"/>
    </row>
    <row r="19" spans="1:17" ht="22.5">
      <c r="A19" s="9" t="s">
        <v>58</v>
      </c>
      <c r="B19" s="25" t="s">
        <v>70</v>
      </c>
      <c r="C19" s="15">
        <v>0.02</v>
      </c>
      <c r="D19" s="15">
        <v>0.02</v>
      </c>
      <c r="E19" s="12">
        <f>IFERROR(AVERAGE(I19:L19),"-")</f>
        <v>0.33949346405228759</v>
      </c>
      <c r="F19" s="13" t="str">
        <f>IF(E19="-","m",IF(E19&lt;D19,"J","L"))</f>
        <v>L</v>
      </c>
      <c r="G19" s="22">
        <v>20</v>
      </c>
      <c r="H19" s="14">
        <f>IFERROR(IF(E19="-","-",IF(E19&gt;D19,G19,G19*E19/D19)),"-")</f>
        <v>20</v>
      </c>
      <c r="I19" s="18">
        <v>0.33</v>
      </c>
      <c r="J19" s="18">
        <v>0.5</v>
      </c>
      <c r="K19" s="18">
        <v>0.26</v>
      </c>
      <c r="L19" s="18">
        <f>+L18/L15</f>
        <v>0.26797385620915032</v>
      </c>
      <c r="M19" s="28"/>
      <c r="N19" s="28"/>
      <c r="O19" s="28"/>
      <c r="P19" s="28"/>
      <c r="Q19" s="28"/>
    </row>
    <row r="20" spans="1:17" ht="21" customHeight="1">
      <c r="A20" s="9" t="s">
        <v>71</v>
      </c>
      <c r="B20" s="25" t="s">
        <v>72</v>
      </c>
      <c r="C20" s="18">
        <v>0.98</v>
      </c>
      <c r="D20" s="18">
        <v>0.98</v>
      </c>
      <c r="E20" s="12">
        <f>IFERROR(AVERAGE(I20:L20),"-")</f>
        <v>0.97499999999999987</v>
      </c>
      <c r="F20" s="13" t="str">
        <f>IF(E20="-","m",IF(E20&gt;=D20,"L","J"))</f>
        <v>J</v>
      </c>
      <c r="G20" s="22">
        <v>20</v>
      </c>
      <c r="H20" s="14">
        <f>IFERROR(IF(E20="-","-",IF(E20&gt;D20,G20,G20*E20/D20)),"-")</f>
        <v>19.897959183673468</v>
      </c>
      <c r="I20" s="18">
        <v>1</v>
      </c>
      <c r="J20" s="18">
        <v>0.97</v>
      </c>
      <c r="K20" s="18">
        <v>0.96</v>
      </c>
      <c r="L20" s="18">
        <v>0.97</v>
      </c>
      <c r="M20" s="28"/>
      <c r="N20" s="28"/>
      <c r="O20" s="28"/>
      <c r="P20" s="28"/>
      <c r="Q20" s="28"/>
    </row>
    <row r="21" spans="1:17" ht="22.5">
      <c r="B21" s="17" t="s">
        <v>73</v>
      </c>
      <c r="C21" s="18">
        <v>1</v>
      </c>
      <c r="D21" s="18">
        <v>1</v>
      </c>
      <c r="E21" s="19">
        <f>H21/G21</f>
        <v>0.54142300747459471</v>
      </c>
      <c r="F21" s="13" t="str">
        <f t="shared" si="1"/>
        <v>L</v>
      </c>
      <c r="G21" s="11">
        <f>SUM(G13:G20)</f>
        <v>100</v>
      </c>
      <c r="H21" s="14">
        <f>SUM(H13:H20)</f>
        <v>54.142300747459473</v>
      </c>
      <c r="N21" s="116"/>
    </row>
    <row r="23" spans="1:17">
      <c r="A23" s="4" t="s">
        <v>109</v>
      </c>
      <c r="B23" s="5"/>
      <c r="C23" s="5"/>
      <c r="F23" s="20"/>
    </row>
    <row r="25" spans="1:17" ht="30">
      <c r="A25" s="6" t="s">
        <v>20</v>
      </c>
      <c r="B25" s="7" t="s">
        <v>21</v>
      </c>
      <c r="C25" s="7" t="s">
        <v>22</v>
      </c>
      <c r="D25" s="7" t="s">
        <v>102</v>
      </c>
      <c r="E25" s="7" t="s">
        <v>103</v>
      </c>
      <c r="F25" s="7" t="s">
        <v>25</v>
      </c>
      <c r="G25" s="7" t="s">
        <v>26</v>
      </c>
      <c r="H25" s="8" t="s">
        <v>27</v>
      </c>
      <c r="I25" s="7" t="s">
        <v>28</v>
      </c>
      <c r="J25" s="7" t="s">
        <v>29</v>
      </c>
      <c r="K25" s="7" t="s">
        <v>30</v>
      </c>
      <c r="L25" s="7" t="s">
        <v>31</v>
      </c>
      <c r="M25" s="7" t="s">
        <v>32</v>
      </c>
      <c r="N25" s="7" t="s">
        <v>33</v>
      </c>
      <c r="O25" s="7" t="s">
        <v>34</v>
      </c>
      <c r="P25" s="7" t="s">
        <v>35</v>
      </c>
      <c r="Q25" s="7" t="s">
        <v>36</v>
      </c>
    </row>
    <row r="26" spans="1:17" ht="22.5">
      <c r="A26" s="9" t="s">
        <v>37</v>
      </c>
      <c r="B26" s="26" t="s">
        <v>110</v>
      </c>
      <c r="C26" s="27">
        <v>1</v>
      </c>
      <c r="D26" s="27">
        <v>1</v>
      </c>
      <c r="E26" s="12">
        <f t="shared" ref="E26:E34" si="2">IFERROR(AVERAGE(I26:K26),"-")</f>
        <v>0.98</v>
      </c>
      <c r="F26" s="13" t="str">
        <f t="shared" ref="F26:F35" si="3">IF(E26="-","m",IF(E26&lt;D26,"L","J"))</f>
        <v>L</v>
      </c>
      <c r="G26" s="22">
        <v>20</v>
      </c>
      <c r="H26" s="14">
        <f t="shared" ref="H26:H34" si="4">IF(E26="-","-",IF(E26&gt;D26,G26,G26*E26/D26))</f>
        <v>19.600000000000001</v>
      </c>
      <c r="I26" s="113" t="s">
        <v>41</v>
      </c>
      <c r="J26" s="15">
        <v>0.96</v>
      </c>
      <c r="K26" s="15">
        <v>1</v>
      </c>
      <c r="L26" s="15">
        <v>1</v>
      </c>
      <c r="M26" s="35"/>
      <c r="N26" s="28"/>
      <c r="O26" s="28"/>
      <c r="P26" s="28"/>
      <c r="Q26" s="28"/>
    </row>
    <row r="27" spans="1:17" ht="22.5">
      <c r="A27" s="9" t="s">
        <v>39</v>
      </c>
      <c r="B27" s="26" t="s">
        <v>111</v>
      </c>
      <c r="C27" s="27">
        <v>1</v>
      </c>
      <c r="D27" s="27">
        <v>1</v>
      </c>
      <c r="E27" s="12">
        <f t="shared" si="2"/>
        <v>1</v>
      </c>
      <c r="F27" s="13" t="str">
        <f t="shared" si="3"/>
        <v>J</v>
      </c>
      <c r="G27" s="22">
        <v>10</v>
      </c>
      <c r="H27" s="14">
        <f t="shared" si="4"/>
        <v>10</v>
      </c>
      <c r="I27" s="113" t="s">
        <v>41</v>
      </c>
      <c r="J27" s="15">
        <v>1</v>
      </c>
      <c r="K27" s="15">
        <v>1</v>
      </c>
      <c r="L27" s="15">
        <v>1</v>
      </c>
      <c r="M27" s="35"/>
      <c r="N27" s="28"/>
      <c r="O27" s="28"/>
      <c r="P27" s="28"/>
      <c r="Q27" s="28"/>
    </row>
    <row r="28" spans="1:17" ht="22.5">
      <c r="A28" s="9" t="s">
        <v>46</v>
      </c>
      <c r="B28" s="26" t="s">
        <v>112</v>
      </c>
      <c r="C28" s="27">
        <v>1</v>
      </c>
      <c r="D28" s="27">
        <v>1</v>
      </c>
      <c r="E28" s="12">
        <f t="shared" si="2"/>
        <v>0.71</v>
      </c>
      <c r="F28" s="13" t="str">
        <f t="shared" si="3"/>
        <v>L</v>
      </c>
      <c r="G28" s="22">
        <v>10</v>
      </c>
      <c r="H28" s="14">
        <f t="shared" si="4"/>
        <v>7.1</v>
      </c>
      <c r="I28" s="113" t="s">
        <v>41</v>
      </c>
      <c r="J28" s="15">
        <v>0.71</v>
      </c>
      <c r="K28" s="15">
        <v>0.71</v>
      </c>
      <c r="L28" s="15">
        <v>0.67</v>
      </c>
      <c r="M28" s="122" t="s">
        <v>192</v>
      </c>
      <c r="N28" s="122" t="s">
        <v>193</v>
      </c>
      <c r="O28" s="122" t="s">
        <v>143</v>
      </c>
      <c r="P28" s="45">
        <v>43251</v>
      </c>
      <c r="Q28" s="122" t="s">
        <v>194</v>
      </c>
    </row>
    <row r="29" spans="1:17" ht="30">
      <c r="A29" s="9" t="s">
        <v>50</v>
      </c>
      <c r="B29" s="26" t="s">
        <v>113</v>
      </c>
      <c r="C29" s="27">
        <v>1</v>
      </c>
      <c r="D29" s="27">
        <v>1</v>
      </c>
      <c r="E29" s="12">
        <f t="shared" si="2"/>
        <v>0.98499999999999999</v>
      </c>
      <c r="F29" s="13" t="str">
        <f t="shared" si="3"/>
        <v>L</v>
      </c>
      <c r="G29" s="22">
        <v>10</v>
      </c>
      <c r="H29" s="14">
        <f t="shared" si="4"/>
        <v>9.85</v>
      </c>
      <c r="I29" s="113" t="s">
        <v>41</v>
      </c>
      <c r="J29" s="15">
        <v>0.97</v>
      </c>
      <c r="K29" s="15">
        <v>1</v>
      </c>
      <c r="L29" s="15">
        <v>0.25</v>
      </c>
      <c r="M29" s="119" t="s">
        <v>188</v>
      </c>
      <c r="N29" s="28"/>
      <c r="O29" s="28"/>
      <c r="P29" s="28"/>
      <c r="Q29" s="28"/>
    </row>
    <row r="30" spans="1:17" ht="90">
      <c r="A30" s="9" t="s">
        <v>55</v>
      </c>
      <c r="B30" s="26" t="s">
        <v>114</v>
      </c>
      <c r="C30" s="27">
        <v>1</v>
      </c>
      <c r="D30" s="27">
        <v>1</v>
      </c>
      <c r="E30" s="12">
        <f t="shared" si="2"/>
        <v>1</v>
      </c>
      <c r="F30" s="13" t="str">
        <f t="shared" si="3"/>
        <v>J</v>
      </c>
      <c r="G30" s="22">
        <v>10</v>
      </c>
      <c r="H30" s="14">
        <f t="shared" si="4"/>
        <v>10</v>
      </c>
      <c r="I30" s="113" t="s">
        <v>41</v>
      </c>
      <c r="J30" s="18">
        <v>1</v>
      </c>
      <c r="K30" s="15">
        <v>1</v>
      </c>
      <c r="L30" s="15">
        <v>0.75</v>
      </c>
      <c r="M30" s="119" t="s">
        <v>185</v>
      </c>
      <c r="N30" s="28"/>
      <c r="O30" s="28"/>
      <c r="P30" s="28"/>
      <c r="Q30" s="28"/>
    </row>
    <row r="31" spans="1:17" ht="21" customHeight="1">
      <c r="A31" s="9" t="s">
        <v>58</v>
      </c>
      <c r="B31" s="28" t="s">
        <v>115</v>
      </c>
      <c r="C31" s="27">
        <v>1</v>
      </c>
      <c r="D31" s="27">
        <v>1</v>
      </c>
      <c r="E31" s="12">
        <f t="shared" si="2"/>
        <v>1</v>
      </c>
      <c r="F31" s="13" t="str">
        <f t="shared" si="3"/>
        <v>J</v>
      </c>
      <c r="G31" s="22">
        <v>10</v>
      </c>
      <c r="H31" s="14">
        <f t="shared" si="4"/>
        <v>10</v>
      </c>
      <c r="I31" s="113" t="s">
        <v>41</v>
      </c>
      <c r="J31" s="42" t="s">
        <v>41</v>
      </c>
      <c r="K31" s="15">
        <v>1</v>
      </c>
      <c r="L31" s="15" t="s">
        <v>41</v>
      </c>
      <c r="M31" s="28"/>
      <c r="N31" s="28"/>
      <c r="O31" s="28"/>
      <c r="P31" s="28"/>
      <c r="Q31" s="28"/>
    </row>
    <row r="32" spans="1:17" ht="21" customHeight="1">
      <c r="A32" s="9" t="s">
        <v>71</v>
      </c>
      <c r="B32" s="28" t="s">
        <v>116</v>
      </c>
      <c r="C32" s="27">
        <v>1</v>
      </c>
      <c r="D32" s="27">
        <v>1</v>
      </c>
      <c r="E32" s="12">
        <f t="shared" si="2"/>
        <v>0.96500000000000008</v>
      </c>
      <c r="F32" s="13" t="str">
        <f t="shared" si="3"/>
        <v>L</v>
      </c>
      <c r="G32" s="22">
        <v>10</v>
      </c>
      <c r="H32" s="14">
        <f t="shared" si="4"/>
        <v>9.65</v>
      </c>
      <c r="I32" s="113" t="s">
        <v>41</v>
      </c>
      <c r="J32" s="18">
        <v>0.93</v>
      </c>
      <c r="K32" s="15">
        <v>1</v>
      </c>
      <c r="L32" s="15" t="s">
        <v>41</v>
      </c>
      <c r="M32" s="35"/>
      <c r="N32" s="28"/>
      <c r="O32" s="28"/>
      <c r="P32" s="28"/>
      <c r="Q32" s="28"/>
    </row>
    <row r="33" spans="1:17" ht="24.95" customHeight="1">
      <c r="A33" s="9" t="s">
        <v>117</v>
      </c>
      <c r="B33" s="28" t="s">
        <v>118</v>
      </c>
      <c r="C33" s="27">
        <v>1</v>
      </c>
      <c r="D33" s="27">
        <v>1</v>
      </c>
      <c r="E33" s="12">
        <f t="shared" si="2"/>
        <v>1</v>
      </c>
      <c r="F33" s="13" t="str">
        <f t="shared" si="3"/>
        <v>J</v>
      </c>
      <c r="G33" s="22">
        <v>10</v>
      </c>
      <c r="H33" s="14">
        <f t="shared" si="4"/>
        <v>10</v>
      </c>
      <c r="I33" s="113" t="s">
        <v>41</v>
      </c>
      <c r="J33" s="36" t="s">
        <v>41</v>
      </c>
      <c r="K33" s="15">
        <v>1</v>
      </c>
      <c r="L33" s="15">
        <v>0.25</v>
      </c>
      <c r="M33" s="117" t="s">
        <v>187</v>
      </c>
      <c r="N33" s="28"/>
      <c r="O33" s="28"/>
      <c r="P33" s="28"/>
      <c r="Q33" s="28"/>
    </row>
    <row r="34" spans="1:17" ht="24.95" customHeight="1">
      <c r="A34" s="9" t="s">
        <v>119</v>
      </c>
      <c r="B34" s="28" t="s">
        <v>120</v>
      </c>
      <c r="C34" s="27">
        <v>1</v>
      </c>
      <c r="D34" s="27">
        <v>1</v>
      </c>
      <c r="E34" s="12">
        <f t="shared" si="2"/>
        <v>0.96</v>
      </c>
      <c r="F34" s="13" t="str">
        <f t="shared" si="3"/>
        <v>L</v>
      </c>
      <c r="G34" s="22">
        <v>10</v>
      </c>
      <c r="H34" s="14">
        <f t="shared" si="4"/>
        <v>9.6</v>
      </c>
      <c r="I34" s="113" t="s">
        <v>41</v>
      </c>
      <c r="J34" s="18">
        <v>0.92</v>
      </c>
      <c r="K34" s="15">
        <v>1</v>
      </c>
      <c r="L34" s="15"/>
      <c r="M34" s="36"/>
      <c r="N34" s="28"/>
      <c r="O34" s="28"/>
      <c r="P34" s="28"/>
      <c r="Q34" s="28"/>
    </row>
    <row r="35" spans="1:17" ht="22.5">
      <c r="B35" s="17" t="s">
        <v>73</v>
      </c>
      <c r="C35" s="18">
        <v>1</v>
      </c>
      <c r="D35" s="18">
        <v>1</v>
      </c>
      <c r="E35" s="19">
        <f>H35/G35</f>
        <v>0.95800000000000007</v>
      </c>
      <c r="F35" s="13" t="str">
        <f t="shared" si="3"/>
        <v>L</v>
      </c>
      <c r="G35" s="11">
        <f>SUMIF(H26:H34,"&gt;0",G26:G34)</f>
        <v>100</v>
      </c>
      <c r="H35" s="16">
        <f>+SUM(H26:H34)</f>
        <v>95.800000000000011</v>
      </c>
      <c r="I35" s="15"/>
      <c r="J35" s="18"/>
      <c r="K35" s="15"/>
      <c r="L35" s="15"/>
    </row>
  </sheetData>
  <conditionalFormatting sqref="F4:F9">
    <cfRule type="containsText" dxfId="140" priority="15" operator="containsText" text="l">
      <formula>NOT(ISERROR(SEARCH("l",F4)))</formula>
    </cfRule>
    <cfRule type="containsText" dxfId="139" priority="16" operator="containsText" text="L">
      <formula>NOT(ISERROR(SEARCH("L",F4)))</formula>
    </cfRule>
    <cfRule type="containsText" dxfId="138" priority="17" operator="containsText" text="J">
      <formula>NOT(ISERROR(SEARCH("J",F4)))</formula>
    </cfRule>
  </conditionalFormatting>
  <conditionalFormatting sqref="F14:F21">
    <cfRule type="containsText" dxfId="137" priority="1" operator="containsText" text="l">
      <formula>NOT(ISERROR(SEARCH("l",F14)))</formula>
    </cfRule>
    <cfRule type="containsText" dxfId="136" priority="2" operator="containsText" text="L">
      <formula>NOT(ISERROR(SEARCH("L",F14)))</formula>
    </cfRule>
    <cfRule type="containsText" dxfId="135" priority="3" operator="containsText" text="J">
      <formula>NOT(ISERROR(SEARCH("J",F14)))</formula>
    </cfRule>
  </conditionalFormatting>
  <conditionalFormatting sqref="F26:F35">
    <cfRule type="containsText" dxfId="134" priority="9" operator="containsText" text="l">
      <formula>NOT(ISERROR(SEARCH("l",F26)))</formula>
    </cfRule>
    <cfRule type="containsText" dxfId="133" priority="10" operator="containsText" text="L">
      <formula>NOT(ISERROR(SEARCH("L",F26)))</formula>
    </cfRule>
    <cfRule type="containsText" dxfId="132" priority="11" operator="containsText" text="J">
      <formula>NOT(ISERROR(SEARCH("J",F26)))</formula>
    </cfRule>
  </conditionalFormatting>
  <conditionalFormatting sqref="H4:H9">
    <cfRule type="containsText" dxfId="131" priority="22" operator="containsText" text="L">
      <formula>NOT(ISERROR(SEARCH("L",H4)))</formula>
    </cfRule>
    <cfRule type="containsText" dxfId="130" priority="23" operator="containsText" text="J">
      <formula>NOT(ISERROR(SEARCH("J",H4)))</formula>
    </cfRule>
  </conditionalFormatting>
  <conditionalFormatting sqref="H14:H20">
    <cfRule type="containsText" dxfId="129" priority="7" operator="containsText" text="L">
      <formula>NOT(ISERROR(SEARCH("L",H14)))</formula>
    </cfRule>
    <cfRule type="containsText" dxfId="128" priority="8" operator="containsText" text="J">
      <formula>NOT(ISERROR(SEARCH("J",H14)))</formula>
    </cfRule>
  </conditionalFormatting>
  <conditionalFormatting sqref="H26:H34">
    <cfRule type="containsText" dxfId="127" priority="18" operator="containsText" text="L">
      <formula>NOT(ISERROR(SEARCH("L",H26)))</formula>
    </cfRule>
    <cfRule type="containsText" dxfId="126" priority="19" operator="containsText" text="J">
      <formula>NOT(ISERROR(SEARCH("J",H26)))</formula>
    </cfRule>
  </conditionalFormatting>
  <pageMargins left="0.75" right="0.75" top="1" bottom="1" header="0.51180555555555596" footer="0.51180555555555596"/>
  <pageSetup paperSize="9"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topLeftCell="A13" workbookViewId="0">
      <selection activeCell="E17" sqref="E17"/>
    </sheetView>
  </sheetViews>
  <sheetFormatPr baseColWidth="10" defaultColWidth="9.140625" defaultRowHeight="15"/>
  <cols>
    <col min="1" max="1" width="3.5703125" style="2" customWidth="1"/>
    <col min="2" max="2" width="65.85546875" customWidth="1"/>
    <col min="3" max="3" width="10.85546875" customWidth="1"/>
    <col min="5" max="5" width="11.140625" customWidth="1"/>
    <col min="6" max="6" width="12.28515625" customWidth="1"/>
    <col min="7" max="7" width="9" customWidth="1"/>
    <col min="8" max="8" width="8.7109375" style="3" customWidth="1"/>
    <col min="13" max="13" width="41.140625" customWidth="1"/>
    <col min="14" max="14" width="19.5703125" customWidth="1"/>
    <col min="16" max="16" width="10.28515625" customWidth="1"/>
    <col min="17" max="17" width="15.7109375" customWidth="1"/>
  </cols>
  <sheetData>
    <row r="1" spans="1:17">
      <c r="A1" s="4" t="s">
        <v>19</v>
      </c>
      <c r="B1" s="5"/>
      <c r="C1" s="5"/>
    </row>
    <row r="3" spans="1:17" s="1" customFormat="1" ht="30">
      <c r="A3" s="6" t="s">
        <v>20</v>
      </c>
      <c r="B3" s="7" t="s">
        <v>21</v>
      </c>
      <c r="C3" s="7" t="s">
        <v>22</v>
      </c>
      <c r="D3" s="7" t="s">
        <v>102</v>
      </c>
      <c r="E3" s="7" t="s">
        <v>103</v>
      </c>
      <c r="F3" s="7" t="s">
        <v>25</v>
      </c>
      <c r="G3" s="7" t="s">
        <v>26</v>
      </c>
      <c r="H3" s="8" t="s">
        <v>27</v>
      </c>
      <c r="I3" s="7" t="s">
        <v>28</v>
      </c>
      <c r="J3" s="7" t="s">
        <v>29</v>
      </c>
      <c r="K3" s="7" t="s">
        <v>30</v>
      </c>
      <c r="L3" s="7" t="s">
        <v>31</v>
      </c>
      <c r="M3" s="7" t="s">
        <v>32</v>
      </c>
      <c r="N3" s="7" t="s">
        <v>33</v>
      </c>
      <c r="O3" s="7" t="s">
        <v>34</v>
      </c>
      <c r="P3" s="7" t="s">
        <v>35</v>
      </c>
      <c r="Q3" s="7" t="s">
        <v>36</v>
      </c>
    </row>
    <row r="4" spans="1:17" ht="90">
      <c r="A4" s="9" t="s">
        <v>37</v>
      </c>
      <c r="B4" s="37" t="s">
        <v>121</v>
      </c>
      <c r="C4" s="15">
        <v>0.98</v>
      </c>
      <c r="D4" s="15">
        <v>0.98</v>
      </c>
      <c r="E4" s="12">
        <f>+IFERROR(AVERAGE(I4:K4),"-")</f>
        <v>1</v>
      </c>
      <c r="F4" s="13" t="str">
        <f>IF(E4="-","m",IF(E4&lt;D4,"L","J"))</f>
        <v>J</v>
      </c>
      <c r="G4" s="22">
        <v>30</v>
      </c>
      <c r="H4" s="14">
        <f>IFERROR(IF(E4="-","-",IF(E4&gt;D4,G4,G4*E4/D4)),"-")</f>
        <v>30</v>
      </c>
      <c r="I4" s="55" t="s">
        <v>41</v>
      </c>
      <c r="J4" s="56">
        <v>1</v>
      </c>
      <c r="K4" s="56">
        <v>1</v>
      </c>
      <c r="L4" s="56">
        <v>1</v>
      </c>
      <c r="M4" s="30" t="s">
        <v>122</v>
      </c>
      <c r="N4" s="28"/>
      <c r="O4" s="28"/>
      <c r="P4" s="28"/>
      <c r="Q4" s="28"/>
    </row>
    <row r="5" spans="1:17" ht="22.5">
      <c r="A5" s="9" t="s">
        <v>39</v>
      </c>
      <c r="B5" s="37" t="s">
        <v>123</v>
      </c>
      <c r="C5" s="15">
        <v>0.98</v>
      </c>
      <c r="D5" s="15">
        <v>0.98</v>
      </c>
      <c r="E5" s="12">
        <f>+IFERROR(AVERAGE(I5:K5),"-")</f>
        <v>0.25</v>
      </c>
      <c r="F5" s="13" t="str">
        <f>IF(E5="-","m",IF(E5&lt;D5,"L","J"))</f>
        <v>L</v>
      </c>
      <c r="G5" s="22">
        <v>70</v>
      </c>
      <c r="H5" s="14">
        <f>IFERROR(IF(E5="-","-",IF(E5&gt;D5,G5,G5*E5/D5)),"-")</f>
        <v>17.857142857142858</v>
      </c>
      <c r="I5" s="46" t="s">
        <v>41</v>
      </c>
      <c r="J5" s="47">
        <v>0.5</v>
      </c>
      <c r="K5" s="47">
        <v>0</v>
      </c>
      <c r="L5" s="47">
        <v>1</v>
      </c>
      <c r="M5" s="31"/>
      <c r="N5" s="28"/>
      <c r="O5" s="28"/>
      <c r="P5" s="28"/>
      <c r="Q5" s="28"/>
    </row>
    <row r="6" spans="1:17" ht="22.5">
      <c r="B6" s="17" t="s">
        <v>62</v>
      </c>
      <c r="C6" s="18">
        <v>1</v>
      </c>
      <c r="D6" s="18">
        <v>0.25</v>
      </c>
      <c r="E6" s="19">
        <f>IFERROR(H6/G6,"-")</f>
        <v>0.47857142857142859</v>
      </c>
      <c r="F6" s="13" t="str">
        <f>IF(E6="-","m",IF(E6&lt;D6,"L","J"))</f>
        <v>J</v>
      </c>
      <c r="G6" s="11">
        <f>SUM(G4:G5)</f>
        <v>100</v>
      </c>
      <c r="H6" s="14">
        <f>SUM(H4:H5)</f>
        <v>47.857142857142861</v>
      </c>
    </row>
    <row r="7" spans="1:17">
      <c r="E7" s="20"/>
    </row>
    <row r="8" spans="1:17">
      <c r="A8" s="4" t="s">
        <v>63</v>
      </c>
      <c r="B8" s="5"/>
      <c r="C8" s="5"/>
      <c r="F8" s="20"/>
    </row>
    <row r="10" spans="1:17" ht="30">
      <c r="A10" s="6" t="s">
        <v>20</v>
      </c>
      <c r="B10" s="7" t="s">
        <v>21</v>
      </c>
      <c r="C10" s="7" t="s">
        <v>22</v>
      </c>
      <c r="D10" s="7" t="s">
        <v>23</v>
      </c>
      <c r="E10" s="7" t="s">
        <v>24</v>
      </c>
      <c r="F10" s="7" t="s">
        <v>25</v>
      </c>
      <c r="G10" s="7" t="s">
        <v>26</v>
      </c>
      <c r="H10" s="8" t="s">
        <v>64</v>
      </c>
      <c r="I10" s="7" t="s">
        <v>28</v>
      </c>
      <c r="J10" s="7" t="s">
        <v>29</v>
      </c>
      <c r="K10" s="7" t="s">
        <v>30</v>
      </c>
      <c r="L10" s="7" t="s">
        <v>31</v>
      </c>
      <c r="M10" s="7" t="s">
        <v>32</v>
      </c>
      <c r="N10" s="7" t="s">
        <v>33</v>
      </c>
      <c r="O10" s="7" t="s">
        <v>34</v>
      </c>
      <c r="P10" s="7" t="s">
        <v>35</v>
      </c>
      <c r="Q10" s="7" t="s">
        <v>36</v>
      </c>
    </row>
    <row r="11" spans="1:17" ht="22.5">
      <c r="A11" s="9" t="s">
        <v>37</v>
      </c>
      <c r="B11" s="10" t="s">
        <v>65</v>
      </c>
      <c r="C11" s="21">
        <f>3*20*12</f>
        <v>720</v>
      </c>
      <c r="D11" s="21">
        <f>3*20*4</f>
        <v>240</v>
      </c>
      <c r="E11" s="16">
        <f t="shared" ref="E11:E14" si="0">SUM(I11:K11)</f>
        <v>7</v>
      </c>
      <c r="F11" s="13" t="str">
        <f t="shared" ref="F11:F18" si="1">IF(E11="-","m",IF(E11&lt;D11,"L","J"))</f>
        <v>L</v>
      </c>
      <c r="G11" s="22">
        <v>20</v>
      </c>
      <c r="H11" s="14">
        <f t="shared" ref="H11:H17" si="2">IFERROR(IF(E11="-","-",IF(E11&gt;D11,G11,G11*E11/D11)),"-")</f>
        <v>0.58333333333333337</v>
      </c>
      <c r="I11" s="11">
        <v>4</v>
      </c>
      <c r="J11" s="11">
        <v>3</v>
      </c>
      <c r="K11" s="110" t="s">
        <v>41</v>
      </c>
      <c r="L11" s="11">
        <v>14</v>
      </c>
      <c r="M11" s="28"/>
      <c r="N11" s="28"/>
      <c r="O11" s="28"/>
      <c r="P11" s="28"/>
      <c r="Q11" s="28"/>
    </row>
    <row r="12" spans="1:17" ht="22.5">
      <c r="A12" s="9" t="s">
        <v>39</v>
      </c>
      <c r="B12" s="23" t="s">
        <v>66</v>
      </c>
      <c r="C12" s="21"/>
      <c r="D12" s="21"/>
      <c r="E12" s="16"/>
      <c r="F12" s="13"/>
      <c r="G12" s="22"/>
      <c r="H12" s="14"/>
      <c r="I12" s="11"/>
      <c r="J12" s="11"/>
      <c r="K12" s="11"/>
      <c r="L12" s="11">
        <v>3</v>
      </c>
      <c r="M12" s="28"/>
      <c r="N12" s="28"/>
      <c r="O12" s="28"/>
      <c r="P12" s="28"/>
      <c r="Q12" s="28"/>
    </row>
    <row r="13" spans="1:17" ht="22.5">
      <c r="A13" s="9" t="s">
        <v>46</v>
      </c>
      <c r="B13" s="10" t="s">
        <v>67</v>
      </c>
      <c r="C13" s="21">
        <f>C11*90/100</f>
        <v>648</v>
      </c>
      <c r="D13" s="21">
        <f>D11*90/100</f>
        <v>216</v>
      </c>
      <c r="E13" s="16">
        <f t="shared" si="0"/>
        <v>3</v>
      </c>
      <c r="F13" s="13" t="str">
        <f t="shared" si="1"/>
        <v>L</v>
      </c>
      <c r="G13" s="22">
        <v>20</v>
      </c>
      <c r="H13" s="14">
        <f t="shared" si="2"/>
        <v>0.27777777777777779</v>
      </c>
      <c r="I13" s="11">
        <v>3</v>
      </c>
      <c r="J13" s="11">
        <v>0</v>
      </c>
      <c r="K13" s="110" t="s">
        <v>41</v>
      </c>
      <c r="L13" s="11">
        <v>9</v>
      </c>
      <c r="M13" s="28"/>
      <c r="N13" s="28"/>
      <c r="O13" s="28"/>
      <c r="P13" s="28"/>
      <c r="Q13" s="28"/>
    </row>
    <row r="14" spans="1:17" ht="22.5">
      <c r="A14" s="9" t="s">
        <v>50</v>
      </c>
      <c r="B14" s="10" t="s">
        <v>68</v>
      </c>
      <c r="C14" s="21">
        <f>C13*90/100</f>
        <v>583.20000000000005</v>
      </c>
      <c r="D14" s="21">
        <f>D13*90/100</f>
        <v>194.4</v>
      </c>
      <c r="E14" s="16">
        <f t="shared" si="0"/>
        <v>3</v>
      </c>
      <c r="F14" s="13" t="str">
        <f t="shared" si="1"/>
        <v>L</v>
      </c>
      <c r="G14" s="22">
        <v>20</v>
      </c>
      <c r="H14" s="14">
        <f t="shared" si="2"/>
        <v>0.30864197530864196</v>
      </c>
      <c r="I14" s="34">
        <v>3</v>
      </c>
      <c r="J14" s="15">
        <v>0</v>
      </c>
      <c r="K14" s="110" t="s">
        <v>41</v>
      </c>
      <c r="L14" s="11">
        <v>9</v>
      </c>
      <c r="M14" s="28"/>
      <c r="N14" s="28"/>
      <c r="O14" s="28"/>
      <c r="P14" s="28"/>
      <c r="Q14" s="28"/>
    </row>
    <row r="15" spans="1:17" ht="22.5">
      <c r="A15" s="9" t="s">
        <v>55</v>
      </c>
      <c r="B15" s="23" t="s">
        <v>69</v>
      </c>
      <c r="C15" s="21"/>
      <c r="D15" s="21"/>
      <c r="E15" s="16"/>
      <c r="F15" s="13"/>
      <c r="G15" s="22"/>
      <c r="H15" s="14"/>
      <c r="I15" s="34"/>
      <c r="J15" s="15"/>
      <c r="K15" s="11"/>
      <c r="L15" s="11">
        <v>2</v>
      </c>
      <c r="M15" s="28"/>
      <c r="N15" s="28"/>
      <c r="O15" s="28"/>
      <c r="P15" s="28"/>
      <c r="Q15" s="28"/>
    </row>
    <row r="16" spans="1:17" ht="22.5">
      <c r="A16" s="9" t="s">
        <v>58</v>
      </c>
      <c r="B16" s="25" t="s">
        <v>70</v>
      </c>
      <c r="C16" s="15">
        <v>0.02</v>
      </c>
      <c r="D16" s="15">
        <v>0.02</v>
      </c>
      <c r="E16" s="12">
        <f>IFERROR(AVERAGE(I16:L16),"-")</f>
        <v>0.22222222222222221</v>
      </c>
      <c r="F16" s="13" t="str">
        <f>IF(E16="-","m",IF(E16&lt;D16,"J","L"))</f>
        <v>L</v>
      </c>
      <c r="G16" s="22">
        <v>20</v>
      </c>
      <c r="H16" s="14">
        <f t="shared" si="2"/>
        <v>20</v>
      </c>
      <c r="I16" s="15">
        <v>0</v>
      </c>
      <c r="J16" s="15">
        <v>0</v>
      </c>
      <c r="K16" s="110" t="s">
        <v>41</v>
      </c>
      <c r="L16" s="15">
        <f>L15/L12</f>
        <v>0.66666666666666663</v>
      </c>
      <c r="M16" s="28"/>
      <c r="N16" s="28"/>
      <c r="O16" s="28"/>
      <c r="P16" s="28"/>
      <c r="Q16" s="28"/>
    </row>
    <row r="17" spans="1:17" ht="21" customHeight="1">
      <c r="A17" s="9" t="s">
        <v>71</v>
      </c>
      <c r="B17" s="25" t="s">
        <v>72</v>
      </c>
      <c r="C17" s="18">
        <v>0.98</v>
      </c>
      <c r="D17" s="18">
        <v>0.98</v>
      </c>
      <c r="E17" s="12">
        <f>IFERROR(AVERAGE(I17:K17),"-")</f>
        <v>0.5</v>
      </c>
      <c r="F17" s="13" t="str">
        <f t="shared" si="1"/>
        <v>L</v>
      </c>
      <c r="G17" s="22">
        <v>20</v>
      </c>
      <c r="H17" s="14">
        <f t="shared" si="2"/>
        <v>10.204081632653061</v>
      </c>
      <c r="I17" s="18">
        <v>1</v>
      </c>
      <c r="J17" s="18">
        <v>0</v>
      </c>
      <c r="K17" s="110" t="s">
        <v>41</v>
      </c>
      <c r="L17" s="110" t="s">
        <v>41</v>
      </c>
      <c r="M17" s="28"/>
      <c r="N17" s="28"/>
      <c r="O17" s="28"/>
      <c r="P17" s="28"/>
      <c r="Q17" s="28"/>
    </row>
    <row r="18" spans="1:17" ht="22.5">
      <c r="B18" s="17" t="s">
        <v>73</v>
      </c>
      <c r="C18" s="18">
        <v>1</v>
      </c>
      <c r="D18" s="18">
        <v>1</v>
      </c>
      <c r="E18" s="19">
        <f>H18/G18</f>
        <v>0.31373834719072813</v>
      </c>
      <c r="F18" s="13" t="str">
        <f t="shared" si="1"/>
        <v>L</v>
      </c>
      <c r="G18" s="11">
        <f>SUM(G10:G17)</f>
        <v>100</v>
      </c>
      <c r="H18" s="14">
        <f>SUM(H10:H17)</f>
        <v>31.373834719072814</v>
      </c>
    </row>
    <row r="20" spans="1:17">
      <c r="A20" s="4" t="s">
        <v>109</v>
      </c>
      <c r="B20" s="5"/>
      <c r="C20" s="5"/>
      <c r="F20" s="20"/>
    </row>
    <row r="22" spans="1:17" ht="30">
      <c r="A22" s="6" t="s">
        <v>20</v>
      </c>
      <c r="B22" s="7" t="s">
        <v>21</v>
      </c>
      <c r="C22" s="7" t="s">
        <v>22</v>
      </c>
      <c r="D22" s="7" t="s">
        <v>102</v>
      </c>
      <c r="E22" s="7" t="s">
        <v>103</v>
      </c>
      <c r="F22" s="7" t="s">
        <v>25</v>
      </c>
      <c r="G22" s="7" t="s">
        <v>26</v>
      </c>
      <c r="H22" s="8" t="s">
        <v>27</v>
      </c>
      <c r="I22" s="7" t="s">
        <v>28</v>
      </c>
      <c r="J22" s="7" t="s">
        <v>29</v>
      </c>
      <c r="K22" s="7" t="s">
        <v>30</v>
      </c>
      <c r="L22" s="7" t="s">
        <v>31</v>
      </c>
      <c r="M22" s="7" t="s">
        <v>32</v>
      </c>
      <c r="N22" s="7" t="s">
        <v>33</v>
      </c>
      <c r="O22" s="7" t="s">
        <v>34</v>
      </c>
      <c r="P22" s="7" t="s">
        <v>35</v>
      </c>
      <c r="Q22" s="7" t="s">
        <v>36</v>
      </c>
    </row>
    <row r="23" spans="1:17" ht="22.5">
      <c r="A23" s="9" t="s">
        <v>37</v>
      </c>
      <c r="B23" s="26" t="s">
        <v>110</v>
      </c>
      <c r="C23" s="27">
        <v>1</v>
      </c>
      <c r="D23" s="27">
        <v>1</v>
      </c>
      <c r="E23" s="12">
        <f t="shared" ref="E23:E31" si="3">IFERROR(AVERAGE(I23:K23),"-")</f>
        <v>1</v>
      </c>
      <c r="F23" s="13" t="str">
        <f t="shared" ref="F23:F32" si="4">IF(E23="-","m",IF(E23&lt;D23,"L","J"))</f>
        <v>J</v>
      </c>
      <c r="G23" s="22">
        <v>20</v>
      </c>
      <c r="H23" s="14">
        <f t="shared" ref="H23:H31" si="5">IF(E23="-","-",IF(E23&gt;D23,G23,G23*E23/D23))</f>
        <v>20</v>
      </c>
      <c r="I23" s="113" t="s">
        <v>41</v>
      </c>
      <c r="J23" s="15">
        <v>1</v>
      </c>
      <c r="K23" s="15">
        <v>1</v>
      </c>
      <c r="L23" s="15">
        <v>1</v>
      </c>
      <c r="M23" s="35"/>
      <c r="N23" s="28"/>
      <c r="O23" s="28"/>
      <c r="P23" s="28"/>
      <c r="Q23" s="28"/>
    </row>
    <row r="24" spans="1:17" ht="22.5">
      <c r="A24" s="9" t="s">
        <v>39</v>
      </c>
      <c r="B24" s="26" t="s">
        <v>111</v>
      </c>
      <c r="C24" s="27">
        <v>1</v>
      </c>
      <c r="D24" s="27">
        <v>1</v>
      </c>
      <c r="E24" s="12" t="str">
        <f t="shared" si="3"/>
        <v>-</v>
      </c>
      <c r="F24" s="13" t="str">
        <f t="shared" si="4"/>
        <v>m</v>
      </c>
      <c r="G24" s="22">
        <v>10</v>
      </c>
      <c r="H24" s="14" t="str">
        <f t="shared" si="5"/>
        <v>-</v>
      </c>
      <c r="I24" s="113" t="s">
        <v>41</v>
      </c>
      <c r="J24" s="15" t="s">
        <v>41</v>
      </c>
      <c r="K24" s="15" t="s">
        <v>41</v>
      </c>
      <c r="L24" s="15" t="s">
        <v>41</v>
      </c>
      <c r="M24" s="15"/>
      <c r="N24" s="28"/>
      <c r="O24" s="28"/>
      <c r="P24" s="28"/>
      <c r="Q24" s="28"/>
    </row>
    <row r="25" spans="1:17" ht="22.5">
      <c r="A25" s="9" t="s">
        <v>46</v>
      </c>
      <c r="B25" s="26" t="s">
        <v>112</v>
      </c>
      <c r="C25" s="27">
        <v>1</v>
      </c>
      <c r="D25" s="27">
        <v>1</v>
      </c>
      <c r="E25" s="12" t="str">
        <f t="shared" si="3"/>
        <v>-</v>
      </c>
      <c r="F25" s="13" t="str">
        <f t="shared" si="4"/>
        <v>m</v>
      </c>
      <c r="G25" s="22">
        <v>10</v>
      </c>
      <c r="H25" s="14" t="str">
        <f t="shared" si="5"/>
        <v>-</v>
      </c>
      <c r="I25" s="113" t="s">
        <v>41</v>
      </c>
      <c r="J25" s="15" t="s">
        <v>41</v>
      </c>
      <c r="K25" s="15" t="s">
        <v>41</v>
      </c>
      <c r="L25" s="15" t="s">
        <v>41</v>
      </c>
      <c r="M25" s="15"/>
      <c r="N25" s="28"/>
      <c r="O25" s="28"/>
      <c r="P25" s="28"/>
      <c r="Q25" s="28"/>
    </row>
    <row r="26" spans="1:17" ht="22.5">
      <c r="A26" s="9" t="s">
        <v>50</v>
      </c>
      <c r="B26" s="26" t="s">
        <v>113</v>
      </c>
      <c r="C26" s="27">
        <v>1</v>
      </c>
      <c r="D26" s="27">
        <v>1</v>
      </c>
      <c r="E26" s="12" t="str">
        <f t="shared" si="3"/>
        <v>-</v>
      </c>
      <c r="F26" s="13" t="str">
        <f t="shared" si="4"/>
        <v>m</v>
      </c>
      <c r="G26" s="22">
        <v>10</v>
      </c>
      <c r="H26" s="14" t="str">
        <f t="shared" si="5"/>
        <v>-</v>
      </c>
      <c r="I26" s="113" t="s">
        <v>41</v>
      </c>
      <c r="J26" s="15" t="s">
        <v>41</v>
      </c>
      <c r="K26" s="15" t="s">
        <v>41</v>
      </c>
      <c r="L26" s="15" t="s">
        <v>41</v>
      </c>
      <c r="M26" s="35"/>
      <c r="N26" s="28"/>
      <c r="O26" s="28"/>
      <c r="P26" s="28"/>
      <c r="Q26" s="28"/>
    </row>
    <row r="27" spans="1:17" ht="22.5">
      <c r="A27" s="9" t="s">
        <v>55</v>
      </c>
      <c r="B27" s="26" t="s">
        <v>114</v>
      </c>
      <c r="C27" s="27">
        <v>1</v>
      </c>
      <c r="D27" s="27">
        <v>1</v>
      </c>
      <c r="E27" s="12">
        <f t="shared" si="3"/>
        <v>1</v>
      </c>
      <c r="F27" s="13" t="str">
        <f t="shared" si="4"/>
        <v>J</v>
      </c>
      <c r="G27" s="22">
        <v>10</v>
      </c>
      <c r="H27" s="14">
        <f t="shared" si="5"/>
        <v>10</v>
      </c>
      <c r="I27" s="113" t="s">
        <v>41</v>
      </c>
      <c r="J27" s="18">
        <v>1</v>
      </c>
      <c r="K27" s="28"/>
      <c r="L27" s="18">
        <v>1</v>
      </c>
      <c r="M27" s="35"/>
      <c r="N27" s="28"/>
      <c r="O27" s="28"/>
      <c r="P27" s="28"/>
      <c r="Q27" s="28"/>
    </row>
    <row r="28" spans="1:17" ht="21" customHeight="1">
      <c r="A28" s="9" t="s">
        <v>58</v>
      </c>
      <c r="B28" s="28" t="s">
        <v>115</v>
      </c>
      <c r="C28" s="27">
        <v>1</v>
      </c>
      <c r="D28" s="27">
        <v>1</v>
      </c>
      <c r="E28" s="12">
        <f t="shared" si="3"/>
        <v>1</v>
      </c>
      <c r="F28" s="13" t="str">
        <f t="shared" si="4"/>
        <v>J</v>
      </c>
      <c r="G28" s="22">
        <v>10</v>
      </c>
      <c r="H28" s="14">
        <f t="shared" si="5"/>
        <v>10</v>
      </c>
      <c r="I28" s="113" t="s">
        <v>41</v>
      </c>
      <c r="J28" s="42" t="s">
        <v>41</v>
      </c>
      <c r="K28" s="18">
        <v>1</v>
      </c>
      <c r="L28" s="18">
        <v>1</v>
      </c>
      <c r="M28" s="28"/>
      <c r="N28" s="28"/>
      <c r="O28" s="28"/>
      <c r="P28" s="28"/>
      <c r="Q28" s="28"/>
    </row>
    <row r="29" spans="1:17" ht="21" customHeight="1">
      <c r="A29" s="9" t="s">
        <v>71</v>
      </c>
      <c r="B29" s="28" t="s">
        <v>116</v>
      </c>
      <c r="C29" s="27">
        <v>1</v>
      </c>
      <c r="D29" s="27">
        <v>1</v>
      </c>
      <c r="E29" s="12">
        <f t="shared" si="3"/>
        <v>1</v>
      </c>
      <c r="F29" s="13" t="str">
        <f t="shared" si="4"/>
        <v>J</v>
      </c>
      <c r="G29" s="22">
        <v>10</v>
      </c>
      <c r="H29" s="14">
        <f t="shared" si="5"/>
        <v>10</v>
      </c>
      <c r="I29" s="113" t="s">
        <v>41</v>
      </c>
      <c r="J29" s="18">
        <v>1</v>
      </c>
      <c r="K29" s="18">
        <v>1</v>
      </c>
      <c r="L29" s="18">
        <v>1</v>
      </c>
      <c r="M29" s="35"/>
      <c r="N29" s="28"/>
      <c r="O29" s="28"/>
      <c r="P29" s="28"/>
      <c r="Q29" s="28"/>
    </row>
    <row r="30" spans="1:17" ht="24.95" customHeight="1">
      <c r="A30" s="9" t="s">
        <v>117</v>
      </c>
      <c r="B30" s="28" t="s">
        <v>118</v>
      </c>
      <c r="C30" s="27">
        <v>1</v>
      </c>
      <c r="D30" s="27">
        <v>1</v>
      </c>
      <c r="E30" s="12" t="str">
        <f t="shared" si="3"/>
        <v>-</v>
      </c>
      <c r="F30" s="13" t="str">
        <f t="shared" si="4"/>
        <v>m</v>
      </c>
      <c r="G30" s="22">
        <v>10</v>
      </c>
      <c r="H30" s="14" t="str">
        <f t="shared" si="5"/>
        <v>-</v>
      </c>
      <c r="I30" s="113" t="s">
        <v>41</v>
      </c>
      <c r="J30" s="36"/>
      <c r="K30" s="36" t="s">
        <v>41</v>
      </c>
      <c r="L30" s="36" t="s">
        <v>41</v>
      </c>
      <c r="M30" s="36"/>
      <c r="N30" s="28"/>
      <c r="O30" s="28"/>
      <c r="P30" s="28"/>
      <c r="Q30" s="28"/>
    </row>
    <row r="31" spans="1:17" ht="24.95" customHeight="1">
      <c r="A31" s="9" t="s">
        <v>119</v>
      </c>
      <c r="B31" s="28" t="s">
        <v>120</v>
      </c>
      <c r="C31" s="27">
        <v>1</v>
      </c>
      <c r="D31" s="27">
        <v>1</v>
      </c>
      <c r="E31" s="12">
        <f t="shared" si="3"/>
        <v>1</v>
      </c>
      <c r="F31" s="13" t="str">
        <f t="shared" si="4"/>
        <v>J</v>
      </c>
      <c r="G31" s="22">
        <v>10</v>
      </c>
      <c r="H31" s="14">
        <f t="shared" si="5"/>
        <v>10</v>
      </c>
      <c r="I31" s="113" t="s">
        <v>41</v>
      </c>
      <c r="J31" s="18">
        <v>1</v>
      </c>
      <c r="K31" s="36" t="s">
        <v>41</v>
      </c>
      <c r="L31" s="36" t="s">
        <v>41</v>
      </c>
      <c r="M31" s="36"/>
      <c r="N31" s="28"/>
      <c r="O31" s="28"/>
      <c r="P31" s="28"/>
      <c r="Q31" s="28"/>
    </row>
    <row r="32" spans="1:17" ht="22.5">
      <c r="B32" s="17" t="s">
        <v>73</v>
      </c>
      <c r="C32" s="18">
        <v>1</v>
      </c>
      <c r="D32" s="18">
        <v>1</v>
      </c>
      <c r="E32" s="19">
        <f>H32/G32</f>
        <v>1</v>
      </c>
      <c r="F32" s="13" t="str">
        <f t="shared" si="4"/>
        <v>J</v>
      </c>
      <c r="G32" s="16">
        <f>SUMIF(H23:H31,"&gt;0",G23:G31)</f>
        <v>60</v>
      </c>
      <c r="H32" s="16">
        <f>+SUM(H23:H31)</f>
        <v>60</v>
      </c>
    </row>
  </sheetData>
  <conditionalFormatting sqref="F16">
    <cfRule type="containsText" dxfId="125" priority="7" operator="containsText" text="l">
      <formula>NOT(ISERROR(SEARCH("l",F16)))</formula>
    </cfRule>
    <cfRule type="containsText" dxfId="124" priority="8" operator="containsText" text="L">
      <formula>NOT(ISERROR(SEARCH("L",F16)))</formula>
    </cfRule>
    <cfRule type="containsText" dxfId="123" priority="9" operator="containsText" text="J">
      <formula>NOT(ISERROR(SEARCH("J",F16)))</formula>
    </cfRule>
  </conditionalFormatting>
  <conditionalFormatting sqref="F4:F6">
    <cfRule type="containsText" dxfId="122" priority="18" operator="containsText" text="l">
      <formula>NOT(ISERROR(SEARCH("l",F4)))</formula>
    </cfRule>
    <cfRule type="containsText" dxfId="121" priority="19" operator="containsText" text="L">
      <formula>NOT(ISERROR(SEARCH("L",F4)))</formula>
    </cfRule>
    <cfRule type="containsText" dxfId="120" priority="20" operator="containsText" text="J">
      <formula>NOT(ISERROR(SEARCH("J",F4)))</formula>
    </cfRule>
  </conditionalFormatting>
  <conditionalFormatting sqref="F11:F15">
    <cfRule type="containsText" dxfId="119" priority="4" operator="containsText" text="l">
      <formula>NOT(ISERROR(SEARCH("l",F11)))</formula>
    </cfRule>
    <cfRule type="containsText" dxfId="118" priority="5" operator="containsText" text="L">
      <formula>NOT(ISERROR(SEARCH("L",F11)))</formula>
    </cfRule>
    <cfRule type="containsText" dxfId="117" priority="6" operator="containsText" text="J">
      <formula>NOT(ISERROR(SEARCH("J",F11)))</formula>
    </cfRule>
  </conditionalFormatting>
  <conditionalFormatting sqref="F17:F18">
    <cfRule type="containsText" dxfId="116" priority="1" operator="containsText" text="l">
      <formula>NOT(ISERROR(SEARCH("l",F17)))</formula>
    </cfRule>
    <cfRule type="containsText" dxfId="115" priority="2" operator="containsText" text="L">
      <formula>NOT(ISERROR(SEARCH("L",F17)))</formula>
    </cfRule>
    <cfRule type="containsText" dxfId="114" priority="3" operator="containsText" text="J">
      <formula>NOT(ISERROR(SEARCH("J",F17)))</formula>
    </cfRule>
  </conditionalFormatting>
  <conditionalFormatting sqref="F23:F32">
    <cfRule type="containsText" dxfId="113" priority="12" operator="containsText" text="l">
      <formula>NOT(ISERROR(SEARCH("l",F23)))</formula>
    </cfRule>
    <cfRule type="containsText" dxfId="112" priority="13" operator="containsText" text="L">
      <formula>NOT(ISERROR(SEARCH("L",F23)))</formula>
    </cfRule>
    <cfRule type="containsText" dxfId="111" priority="14" operator="containsText" text="J">
      <formula>NOT(ISERROR(SEARCH("J",F23)))</formula>
    </cfRule>
  </conditionalFormatting>
  <conditionalFormatting sqref="H4:H6">
    <cfRule type="containsText" dxfId="110" priority="23" operator="containsText" text="L">
      <formula>NOT(ISERROR(SEARCH("L",H4)))</formula>
    </cfRule>
    <cfRule type="containsText" dxfId="109" priority="24" operator="containsText" text="J">
      <formula>NOT(ISERROR(SEARCH("J",H4)))</formula>
    </cfRule>
  </conditionalFormatting>
  <conditionalFormatting sqref="H11:H17">
    <cfRule type="containsText" dxfId="108" priority="10" operator="containsText" text="L">
      <formula>NOT(ISERROR(SEARCH("L",H11)))</formula>
    </cfRule>
    <cfRule type="containsText" dxfId="107" priority="11" operator="containsText" text="J">
      <formula>NOT(ISERROR(SEARCH("J",H11)))</formula>
    </cfRule>
  </conditionalFormatting>
  <conditionalFormatting sqref="H23:H31">
    <cfRule type="containsText" dxfId="106" priority="21" operator="containsText" text="L">
      <formula>NOT(ISERROR(SEARCH("L",H23)))</formula>
    </cfRule>
    <cfRule type="containsText" dxfId="105" priority="22" operator="containsText" text="J">
      <formula>NOT(ISERROR(SEARCH("J",H23)))</formula>
    </cfRule>
  </conditionalFormatting>
  <pageMargins left="0.75" right="0.75" top="1" bottom="1" header="0.51180555555555596" footer="0.51180555555555596"/>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tabSelected="1" workbookViewId="0">
      <selection activeCell="M13" sqref="M13:M17"/>
    </sheetView>
  </sheetViews>
  <sheetFormatPr baseColWidth="10" defaultColWidth="9.140625" defaultRowHeight="15"/>
  <cols>
    <col min="1" max="1" width="3.5703125" style="2" customWidth="1"/>
    <col min="2" max="2" width="55.28515625" customWidth="1"/>
    <col min="3" max="3" width="11" customWidth="1"/>
    <col min="5" max="5" width="11.140625" customWidth="1"/>
    <col min="6" max="6" width="12.28515625" customWidth="1"/>
    <col min="7" max="7" width="9" customWidth="1"/>
    <col min="8" max="8" width="8.7109375" style="3" customWidth="1"/>
    <col min="13" max="13" width="53.42578125" customWidth="1"/>
    <col min="14" max="14" width="19.5703125" customWidth="1"/>
    <col min="16" max="16" width="10.28515625" customWidth="1"/>
    <col min="17" max="17" width="15.7109375" customWidth="1"/>
  </cols>
  <sheetData>
    <row r="1" spans="1:17">
      <c r="A1" s="4" t="s">
        <v>19</v>
      </c>
      <c r="B1" s="5"/>
      <c r="C1" s="5"/>
    </row>
    <row r="3" spans="1:17" s="1" customFormat="1" ht="30">
      <c r="A3" s="6" t="s">
        <v>20</v>
      </c>
      <c r="B3" s="7" t="s">
        <v>21</v>
      </c>
      <c r="C3" s="7" t="s">
        <v>22</v>
      </c>
      <c r="D3" s="7" t="s">
        <v>102</v>
      </c>
      <c r="E3" s="7" t="s">
        <v>103</v>
      </c>
      <c r="F3" s="7" t="s">
        <v>25</v>
      </c>
      <c r="G3" s="7" t="s">
        <v>26</v>
      </c>
      <c r="H3" s="8" t="s">
        <v>27</v>
      </c>
      <c r="I3" s="7" t="s">
        <v>28</v>
      </c>
      <c r="J3" s="7" t="s">
        <v>29</v>
      </c>
      <c r="K3" s="7" t="s">
        <v>30</v>
      </c>
      <c r="L3" s="7" t="s">
        <v>31</v>
      </c>
      <c r="M3" s="7" t="s">
        <v>32</v>
      </c>
      <c r="N3" s="7" t="s">
        <v>33</v>
      </c>
      <c r="O3" s="7" t="s">
        <v>34</v>
      </c>
      <c r="P3" s="7" t="s">
        <v>35</v>
      </c>
      <c r="Q3" s="7" t="s">
        <v>36</v>
      </c>
    </row>
    <row r="4" spans="1:17" ht="22.5">
      <c r="A4" s="9" t="s">
        <v>37</v>
      </c>
      <c r="B4" s="10" t="s">
        <v>124</v>
      </c>
      <c r="C4" s="15">
        <v>0.8</v>
      </c>
      <c r="D4" s="15">
        <v>0.8</v>
      </c>
      <c r="E4" s="12" t="str">
        <f>+IFERROR(AVERAGE(I4:K4),"-")</f>
        <v>-</v>
      </c>
      <c r="F4" s="13" t="str">
        <f>IF(E4="-","m",IF(E4&lt;D4,"L","J"))</f>
        <v>m</v>
      </c>
      <c r="G4" s="22">
        <v>20</v>
      </c>
      <c r="H4" s="14" t="str">
        <f>IFERROR(IF(E4="-","-",IF(E4&gt;D4,G4,G4*E4/D4)),"-")</f>
        <v>-</v>
      </c>
      <c r="I4" s="114" t="s">
        <v>41</v>
      </c>
      <c r="J4" s="114" t="s">
        <v>41</v>
      </c>
      <c r="K4" s="114" t="s">
        <v>41</v>
      </c>
      <c r="L4" s="52"/>
      <c r="M4" s="28" t="s">
        <v>125</v>
      </c>
      <c r="N4" s="28"/>
      <c r="O4" s="28"/>
      <c r="P4" s="45">
        <v>43251</v>
      </c>
      <c r="Q4" s="28"/>
    </row>
    <row r="5" spans="1:17" ht="22.5">
      <c r="A5" s="9" t="s">
        <v>39</v>
      </c>
      <c r="B5" s="10" t="s">
        <v>126</v>
      </c>
      <c r="C5" s="15">
        <v>0.97</v>
      </c>
      <c r="D5" s="15">
        <v>0.97</v>
      </c>
      <c r="E5" s="12" t="str">
        <f>+IFERROR(AVERAGE(I5:K5),"-")</f>
        <v>-</v>
      </c>
      <c r="F5" s="13" t="str">
        <f>IF(E5="-","m",IF(E5&lt;D5,"L","J"))</f>
        <v>m</v>
      </c>
      <c r="G5" s="22">
        <v>30</v>
      </c>
      <c r="H5" s="14" t="str">
        <f>IFERROR(IF(E5="-","-",IF(E5&gt;D5,G5,G5*E5/D5)),"-")</f>
        <v>-</v>
      </c>
      <c r="I5" s="114" t="s">
        <v>41</v>
      </c>
      <c r="J5" s="114" t="s">
        <v>41</v>
      </c>
      <c r="K5" s="114" t="s">
        <v>41</v>
      </c>
      <c r="L5" s="52"/>
      <c r="M5" s="28" t="s">
        <v>125</v>
      </c>
      <c r="N5" s="28"/>
      <c r="O5" s="28"/>
      <c r="P5" s="45">
        <v>43251</v>
      </c>
      <c r="Q5" s="28"/>
    </row>
    <row r="6" spans="1:17" ht="22.5">
      <c r="A6" s="9" t="s">
        <v>46</v>
      </c>
      <c r="B6" s="10" t="s">
        <v>127</v>
      </c>
      <c r="C6" s="15">
        <v>0.97</v>
      </c>
      <c r="D6" s="15">
        <v>0.97</v>
      </c>
      <c r="E6" s="12" t="str">
        <f>+IFERROR(AVERAGE(I6:K6),"-")</f>
        <v>-</v>
      </c>
      <c r="F6" s="13" t="str">
        <f>IF(E6="-","m",IF(E6&lt;D6,"L","J"))</f>
        <v>m</v>
      </c>
      <c r="G6" s="22">
        <v>30</v>
      </c>
      <c r="H6" s="14" t="str">
        <f>IFERROR(IF(E6="-","-",IF(E6&gt;D6,G6,G6*E6/D6)),"-")</f>
        <v>-</v>
      </c>
      <c r="I6" s="114" t="s">
        <v>41</v>
      </c>
      <c r="J6" s="114" t="s">
        <v>41</v>
      </c>
      <c r="K6" s="114" t="s">
        <v>41</v>
      </c>
      <c r="L6" s="52"/>
      <c r="M6" s="28" t="s">
        <v>125</v>
      </c>
      <c r="N6" s="28"/>
      <c r="O6" s="28"/>
      <c r="P6" s="45">
        <v>43251</v>
      </c>
      <c r="Q6" s="28"/>
    </row>
    <row r="7" spans="1:17" ht="22.5">
      <c r="A7" s="9" t="s">
        <v>50</v>
      </c>
      <c r="B7" s="10" t="s">
        <v>128</v>
      </c>
      <c r="C7" s="15">
        <v>1</v>
      </c>
      <c r="D7" s="15">
        <v>1</v>
      </c>
      <c r="E7" s="19">
        <f>+IFERROR(AVERAGE(I7:K7),"-")</f>
        <v>0.875</v>
      </c>
      <c r="F7" s="13" t="str">
        <f>IF(E7="-","m",IF(E7&lt;D7,"L","J"))</f>
        <v>L</v>
      </c>
      <c r="G7" s="22">
        <v>20</v>
      </c>
      <c r="H7" s="14">
        <f>IFERROR(IF(E7="-","-",IF(E7&gt;D7,G7,G7*E7/D7)),"-")</f>
        <v>17.5</v>
      </c>
      <c r="I7" s="114" t="s">
        <v>41</v>
      </c>
      <c r="J7" s="49">
        <v>0.85670000000000002</v>
      </c>
      <c r="K7" s="53">
        <v>0.89329999999999998</v>
      </c>
      <c r="L7" s="53">
        <v>0.89070000000000005</v>
      </c>
      <c r="M7" s="35" t="s">
        <v>210</v>
      </c>
      <c r="N7" s="28"/>
      <c r="O7" s="28"/>
      <c r="P7" s="28"/>
      <c r="Q7" s="28"/>
    </row>
    <row r="8" spans="1:17" ht="22.5">
      <c r="B8" s="17" t="s">
        <v>62</v>
      </c>
      <c r="C8" s="18">
        <v>1</v>
      </c>
      <c r="D8" s="18">
        <v>0.25</v>
      </c>
      <c r="E8" s="51">
        <f>IFERROR(H8/G8,"-")</f>
        <v>0.17499999999999999</v>
      </c>
      <c r="F8" s="13" t="str">
        <f>IF(E8="-","m",IF(E8&lt;D8,"L","J"))</f>
        <v>L</v>
      </c>
      <c r="G8" s="11">
        <f>SUM(G4:G7)</f>
        <v>100</v>
      </c>
      <c r="H8" s="14">
        <f>SUM(H4:H7)</f>
        <v>17.5</v>
      </c>
    </row>
    <row r="9" spans="1:17">
      <c r="E9" s="20"/>
    </row>
    <row r="10" spans="1:17">
      <c r="A10" s="4" t="s">
        <v>63</v>
      </c>
      <c r="B10" s="5"/>
      <c r="C10" s="5"/>
      <c r="F10" s="20"/>
    </row>
    <row r="12" spans="1:17" ht="30">
      <c r="A12" s="6" t="s">
        <v>20</v>
      </c>
      <c r="B12" s="7" t="s">
        <v>21</v>
      </c>
      <c r="C12" s="7" t="s">
        <v>22</v>
      </c>
      <c r="D12" s="7" t="s">
        <v>23</v>
      </c>
      <c r="E12" s="7" t="s">
        <v>24</v>
      </c>
      <c r="F12" s="7" t="s">
        <v>25</v>
      </c>
      <c r="G12" s="7" t="s">
        <v>26</v>
      </c>
      <c r="H12" s="8" t="s">
        <v>64</v>
      </c>
      <c r="I12" s="7" t="s">
        <v>28</v>
      </c>
      <c r="J12" s="7" t="s">
        <v>29</v>
      </c>
      <c r="K12" s="7" t="s">
        <v>30</v>
      </c>
      <c r="L12" s="7" t="s">
        <v>31</v>
      </c>
      <c r="M12" s="7" t="s">
        <v>32</v>
      </c>
      <c r="N12" s="7" t="s">
        <v>33</v>
      </c>
      <c r="O12" s="7" t="s">
        <v>34</v>
      </c>
      <c r="P12" s="7" t="s">
        <v>35</v>
      </c>
      <c r="Q12" s="7" t="s">
        <v>36</v>
      </c>
    </row>
    <row r="13" spans="1:17" ht="22.5">
      <c r="A13" s="9" t="s">
        <v>37</v>
      </c>
      <c r="B13" s="10" t="s">
        <v>65</v>
      </c>
      <c r="C13" s="21">
        <f>3*20*12</f>
        <v>720</v>
      </c>
      <c r="D13" s="21">
        <f>3*20*4</f>
        <v>240</v>
      </c>
      <c r="E13" s="16">
        <f>SUM(I13:L13)</f>
        <v>43</v>
      </c>
      <c r="F13" s="13" t="str">
        <f t="shared" ref="F13:F20" si="0">IF(E13="-","m",IF(E13&lt;D13,"L","J"))</f>
        <v>L</v>
      </c>
      <c r="G13" s="22">
        <v>20</v>
      </c>
      <c r="H13" s="14">
        <f t="shared" ref="H13:H19" si="1">IFERROR(IF(E13="-","-",IF(E13&gt;D13,G13,G13*E13/D13)),"-")</f>
        <v>3.5833333333333335</v>
      </c>
      <c r="I13" s="110" t="s">
        <v>41</v>
      </c>
      <c r="J13" s="110" t="s">
        <v>41</v>
      </c>
      <c r="K13" s="11">
        <v>14</v>
      </c>
      <c r="L13" s="11">
        <v>29</v>
      </c>
      <c r="M13" s="156" t="s">
        <v>209</v>
      </c>
      <c r="N13" s="28"/>
      <c r="O13" s="28"/>
      <c r="P13" s="28"/>
      <c r="Q13" s="28"/>
    </row>
    <row r="14" spans="1:17" ht="22.5">
      <c r="A14" s="9" t="s">
        <v>39</v>
      </c>
      <c r="B14" s="23" t="s">
        <v>66</v>
      </c>
      <c r="C14" s="21"/>
      <c r="D14" s="21"/>
      <c r="E14" s="16"/>
      <c r="F14" s="13"/>
      <c r="G14" s="22"/>
      <c r="H14" s="14"/>
      <c r="I14" s="11"/>
      <c r="J14" s="11"/>
      <c r="K14" s="11"/>
      <c r="L14" s="11">
        <v>25</v>
      </c>
      <c r="M14" s="157"/>
      <c r="N14" s="28"/>
      <c r="O14" s="28"/>
      <c r="P14" s="28"/>
      <c r="Q14" s="28"/>
    </row>
    <row r="15" spans="1:17" ht="22.5">
      <c r="A15" s="9" t="s">
        <v>46</v>
      </c>
      <c r="B15" s="10" t="s">
        <v>67</v>
      </c>
      <c r="C15" s="21">
        <f>C13*90/100</f>
        <v>648</v>
      </c>
      <c r="D15" s="21">
        <f>D13*90/100</f>
        <v>216</v>
      </c>
      <c r="E15" s="16">
        <f>SUM(I15:L15)</f>
        <v>25</v>
      </c>
      <c r="F15" s="13" t="str">
        <f t="shared" si="0"/>
        <v>L</v>
      </c>
      <c r="G15" s="22">
        <v>20</v>
      </c>
      <c r="H15" s="14">
        <f t="shared" si="1"/>
        <v>2.3148148148148149</v>
      </c>
      <c r="I15" s="110" t="s">
        <v>41</v>
      </c>
      <c r="J15" s="110" t="s">
        <v>41</v>
      </c>
      <c r="K15" s="11">
        <v>0</v>
      </c>
      <c r="L15" s="11">
        <v>25</v>
      </c>
      <c r="M15" s="157"/>
      <c r="N15" s="28"/>
      <c r="O15" s="28"/>
      <c r="P15" s="28"/>
      <c r="Q15" s="28"/>
    </row>
    <row r="16" spans="1:17" ht="22.5">
      <c r="A16" s="9" t="s">
        <v>50</v>
      </c>
      <c r="B16" s="10" t="s">
        <v>68</v>
      </c>
      <c r="C16" s="21">
        <f>C15*90/100</f>
        <v>583.20000000000005</v>
      </c>
      <c r="D16" s="21">
        <f>D15*90/100</f>
        <v>194.4</v>
      </c>
      <c r="E16" s="16">
        <f>SUM(I16:L16)</f>
        <v>22</v>
      </c>
      <c r="F16" s="13" t="str">
        <f t="shared" si="0"/>
        <v>L</v>
      </c>
      <c r="G16" s="22">
        <v>20</v>
      </c>
      <c r="H16" s="14">
        <f t="shared" si="1"/>
        <v>2.263374485596708</v>
      </c>
      <c r="I16" s="110" t="s">
        <v>41</v>
      </c>
      <c r="J16" s="110" t="s">
        <v>41</v>
      </c>
      <c r="K16" s="11">
        <v>0</v>
      </c>
      <c r="L16" s="11">
        <v>22</v>
      </c>
      <c r="M16" s="157"/>
      <c r="N16" s="28"/>
      <c r="O16" s="28"/>
      <c r="P16" s="28"/>
      <c r="Q16" s="28"/>
    </row>
    <row r="17" spans="1:17" ht="22.5">
      <c r="A17" s="9" t="s">
        <v>55</v>
      </c>
      <c r="B17" s="23" t="s">
        <v>69</v>
      </c>
      <c r="C17" s="21"/>
      <c r="D17" s="21"/>
      <c r="E17" s="16"/>
      <c r="F17" s="13"/>
      <c r="G17" s="22"/>
      <c r="H17" s="14"/>
      <c r="I17" s="11"/>
      <c r="J17" s="11"/>
      <c r="K17" s="11"/>
      <c r="L17" s="11">
        <v>2</v>
      </c>
      <c r="M17" s="158"/>
      <c r="N17" s="28"/>
      <c r="O17" s="28"/>
      <c r="P17" s="28"/>
      <c r="Q17" s="28"/>
    </row>
    <row r="18" spans="1:17" ht="60">
      <c r="A18" s="9" t="s">
        <v>58</v>
      </c>
      <c r="B18" s="25" t="s">
        <v>70</v>
      </c>
      <c r="C18" s="15">
        <v>0.02</v>
      </c>
      <c r="D18" s="15">
        <v>0.02</v>
      </c>
      <c r="E18" s="12">
        <f>IFERROR(AVERAGE(I18:L18),"-")</f>
        <v>0.04</v>
      </c>
      <c r="F18" s="13" t="str">
        <f>IF(E18="-","m",IF(E18&lt;D18,"J","L"))</f>
        <v>L</v>
      </c>
      <c r="G18" s="22">
        <v>20</v>
      </c>
      <c r="H18" s="14">
        <f t="shared" si="1"/>
        <v>20</v>
      </c>
      <c r="I18" s="110" t="s">
        <v>41</v>
      </c>
      <c r="J18" s="110" t="s">
        <v>41</v>
      </c>
      <c r="K18" s="15">
        <v>0</v>
      </c>
      <c r="L18" s="15">
        <f>L17/L14</f>
        <v>0.08</v>
      </c>
      <c r="M18" s="159" t="s">
        <v>207</v>
      </c>
      <c r="N18" s="30" t="s">
        <v>208</v>
      </c>
      <c r="O18" s="28"/>
      <c r="P18" s="28"/>
      <c r="Q18" s="28"/>
    </row>
    <row r="19" spans="1:17" ht="21" customHeight="1">
      <c r="A19" s="9" t="s">
        <v>71</v>
      </c>
      <c r="B19" s="25" t="s">
        <v>72</v>
      </c>
      <c r="C19" s="18">
        <v>0.98</v>
      </c>
      <c r="D19" s="18">
        <v>0.98</v>
      </c>
      <c r="E19" s="12">
        <f>IFERROR(AVERAGE(I19:L19),"-")</f>
        <v>0.3888888888888889</v>
      </c>
      <c r="F19" s="13" t="str">
        <f t="shared" si="0"/>
        <v>L</v>
      </c>
      <c r="G19" s="22">
        <v>20</v>
      </c>
      <c r="H19" s="14">
        <f t="shared" si="1"/>
        <v>7.9365079365079367</v>
      </c>
      <c r="I19" s="110" t="s">
        <v>41</v>
      </c>
      <c r="J19" s="110" t="s">
        <v>41</v>
      </c>
      <c r="K19" s="18">
        <v>0</v>
      </c>
      <c r="L19" s="18">
        <f>14/18</f>
        <v>0.77777777777777779</v>
      </c>
      <c r="M19" s="28"/>
      <c r="N19" s="28"/>
      <c r="O19" s="28"/>
      <c r="P19" s="28"/>
      <c r="Q19" s="28"/>
    </row>
    <row r="20" spans="1:17" ht="22.5">
      <c r="B20" s="17" t="s">
        <v>73</v>
      </c>
      <c r="C20" s="18">
        <v>1</v>
      </c>
      <c r="D20" s="18">
        <v>1</v>
      </c>
      <c r="E20" s="19">
        <f>H20/G20</f>
        <v>0.36098030570252798</v>
      </c>
      <c r="F20" s="13" t="str">
        <f t="shared" si="0"/>
        <v>L</v>
      </c>
      <c r="G20" s="11">
        <f>SUM(G12:G19)</f>
        <v>100</v>
      </c>
      <c r="H20" s="14">
        <f>SUM(H12:H19)</f>
        <v>36.098030570252796</v>
      </c>
    </row>
    <row r="22" spans="1:17">
      <c r="A22" s="4" t="s">
        <v>109</v>
      </c>
      <c r="B22" s="5"/>
      <c r="C22" s="5"/>
      <c r="F22" s="20"/>
    </row>
    <row r="24" spans="1:17" ht="30">
      <c r="A24" s="6" t="s">
        <v>20</v>
      </c>
      <c r="B24" s="7" t="s">
        <v>21</v>
      </c>
      <c r="C24" s="7" t="s">
        <v>22</v>
      </c>
      <c r="D24" s="7" t="s">
        <v>102</v>
      </c>
      <c r="E24" s="7" t="s">
        <v>103</v>
      </c>
      <c r="F24" s="7" t="s">
        <v>25</v>
      </c>
      <c r="G24" s="7" t="s">
        <v>26</v>
      </c>
      <c r="H24" s="8" t="s">
        <v>27</v>
      </c>
      <c r="I24" s="7" t="s">
        <v>28</v>
      </c>
      <c r="J24" s="7" t="s">
        <v>29</v>
      </c>
      <c r="K24" s="7" t="s">
        <v>30</v>
      </c>
      <c r="L24" s="7" t="s">
        <v>31</v>
      </c>
      <c r="M24" s="7" t="s">
        <v>32</v>
      </c>
      <c r="N24" s="7" t="s">
        <v>33</v>
      </c>
      <c r="O24" s="7" t="s">
        <v>34</v>
      </c>
      <c r="P24" s="7" t="s">
        <v>35</v>
      </c>
      <c r="Q24" s="7" t="s">
        <v>36</v>
      </c>
    </row>
    <row r="25" spans="1:17" ht="22.5">
      <c r="A25" s="9" t="s">
        <v>37</v>
      </c>
      <c r="B25" s="26" t="s">
        <v>110</v>
      </c>
      <c r="C25" s="27">
        <v>1</v>
      </c>
      <c r="D25" s="27">
        <v>1</v>
      </c>
      <c r="E25" s="12">
        <f t="shared" ref="E25:E33" si="2">IFERROR(AVERAGE(I25:K25),"-")</f>
        <v>0.75</v>
      </c>
      <c r="F25" s="13" t="str">
        <f t="shared" ref="F25:F34" si="3">IF(E25="-","m",IF(E25&lt;D25,"L","J"))</f>
        <v>L</v>
      </c>
      <c r="G25" s="22">
        <v>20</v>
      </c>
      <c r="H25" s="14">
        <f t="shared" ref="H25:H33" si="4">IF(E25="-","-",IF(E25&gt;D25,G25,G25*E25/D25))</f>
        <v>15</v>
      </c>
      <c r="I25" s="15" t="s">
        <v>41</v>
      </c>
      <c r="J25" s="15" t="s">
        <v>41</v>
      </c>
      <c r="K25" s="15">
        <v>0.75</v>
      </c>
      <c r="L25" s="15">
        <v>0.75</v>
      </c>
      <c r="M25" s="121" t="s">
        <v>191</v>
      </c>
      <c r="N25" s="28"/>
      <c r="O25" s="28"/>
      <c r="P25" s="28"/>
      <c r="Q25" s="28"/>
    </row>
    <row r="26" spans="1:17" ht="22.5">
      <c r="A26" s="9" t="s">
        <v>39</v>
      </c>
      <c r="B26" s="26" t="s">
        <v>111</v>
      </c>
      <c r="C26" s="27">
        <v>1</v>
      </c>
      <c r="D26" s="27">
        <v>1</v>
      </c>
      <c r="E26" s="12">
        <f t="shared" si="2"/>
        <v>1</v>
      </c>
      <c r="F26" s="13" t="str">
        <f t="shared" si="3"/>
        <v>J</v>
      </c>
      <c r="G26" s="22">
        <v>10</v>
      </c>
      <c r="H26" s="14">
        <f t="shared" si="4"/>
        <v>10</v>
      </c>
      <c r="I26" s="15" t="s">
        <v>41</v>
      </c>
      <c r="J26" s="15">
        <v>1</v>
      </c>
      <c r="K26" s="15">
        <v>1</v>
      </c>
      <c r="L26" s="15"/>
      <c r="M26" s="54" t="s">
        <v>129</v>
      </c>
      <c r="N26" s="28"/>
      <c r="O26" s="28"/>
      <c r="P26" s="28"/>
      <c r="Q26" s="28"/>
    </row>
    <row r="27" spans="1:17" ht="22.5">
      <c r="A27" s="9" t="s">
        <v>46</v>
      </c>
      <c r="B27" s="26" t="s">
        <v>112</v>
      </c>
      <c r="C27" s="27">
        <v>1</v>
      </c>
      <c r="D27" s="27">
        <v>1</v>
      </c>
      <c r="E27" s="12" t="str">
        <f t="shared" si="2"/>
        <v>-</v>
      </c>
      <c r="F27" s="13" t="str">
        <f t="shared" si="3"/>
        <v>m</v>
      </c>
      <c r="G27" s="22">
        <v>10</v>
      </c>
      <c r="H27" s="14" t="str">
        <f t="shared" si="4"/>
        <v>-</v>
      </c>
      <c r="I27" s="15" t="s">
        <v>41</v>
      </c>
      <c r="J27" s="15" t="s">
        <v>41</v>
      </c>
      <c r="K27" s="15" t="s">
        <v>41</v>
      </c>
      <c r="L27" s="15" t="s">
        <v>41</v>
      </c>
      <c r="M27" s="15"/>
      <c r="N27" s="28"/>
      <c r="O27" s="28"/>
      <c r="P27" s="28"/>
      <c r="Q27" s="28"/>
    </row>
    <row r="28" spans="1:17" ht="22.5">
      <c r="A28" s="9" t="s">
        <v>50</v>
      </c>
      <c r="B28" s="26" t="s">
        <v>113</v>
      </c>
      <c r="C28" s="27">
        <v>1</v>
      </c>
      <c r="D28" s="27">
        <v>1</v>
      </c>
      <c r="E28" s="12">
        <f t="shared" si="2"/>
        <v>1</v>
      </c>
      <c r="F28" s="13" t="str">
        <f t="shared" si="3"/>
        <v>J</v>
      </c>
      <c r="G28" s="22">
        <v>10</v>
      </c>
      <c r="H28" s="14">
        <f t="shared" si="4"/>
        <v>10</v>
      </c>
      <c r="I28" s="15" t="s">
        <v>41</v>
      </c>
      <c r="J28" s="15" t="s">
        <v>41</v>
      </c>
      <c r="K28" s="15">
        <v>1</v>
      </c>
      <c r="L28" s="15">
        <v>0.5</v>
      </c>
      <c r="M28" s="35" t="s">
        <v>130</v>
      </c>
      <c r="N28" s="28"/>
      <c r="O28" s="28"/>
      <c r="P28" s="28"/>
      <c r="Q28" s="28"/>
    </row>
    <row r="29" spans="1:17" ht="75">
      <c r="A29" s="9" t="s">
        <v>55</v>
      </c>
      <c r="B29" s="26" t="s">
        <v>114</v>
      </c>
      <c r="C29" s="27">
        <v>1</v>
      </c>
      <c r="D29" s="27">
        <v>1</v>
      </c>
      <c r="E29" s="12" t="str">
        <f t="shared" si="2"/>
        <v>-</v>
      </c>
      <c r="F29" s="13" t="str">
        <f t="shared" si="3"/>
        <v>m</v>
      </c>
      <c r="G29" s="22">
        <v>10</v>
      </c>
      <c r="H29" s="14" t="str">
        <f t="shared" si="4"/>
        <v>-</v>
      </c>
      <c r="I29" s="15" t="s">
        <v>41</v>
      </c>
      <c r="J29" s="15" t="s">
        <v>41</v>
      </c>
      <c r="K29" s="15" t="s">
        <v>41</v>
      </c>
      <c r="L29" s="15">
        <v>0.75</v>
      </c>
      <c r="M29" s="119" t="s">
        <v>186</v>
      </c>
      <c r="N29" s="28"/>
      <c r="O29" s="28"/>
      <c r="P29" s="28"/>
      <c r="Q29" s="28"/>
    </row>
    <row r="30" spans="1:17" ht="21" customHeight="1">
      <c r="A30" s="9" t="s">
        <v>58</v>
      </c>
      <c r="B30" s="28" t="s">
        <v>115</v>
      </c>
      <c r="C30" s="27">
        <v>1</v>
      </c>
      <c r="D30" s="27">
        <v>1</v>
      </c>
      <c r="E30" s="12">
        <f t="shared" si="2"/>
        <v>1</v>
      </c>
      <c r="F30" s="13" t="str">
        <f t="shared" si="3"/>
        <v>J</v>
      </c>
      <c r="G30" s="22">
        <v>10</v>
      </c>
      <c r="H30" s="14">
        <f t="shared" si="4"/>
        <v>10</v>
      </c>
      <c r="I30" s="15" t="s">
        <v>41</v>
      </c>
      <c r="J30" s="15" t="s">
        <v>41</v>
      </c>
      <c r="K30" s="15">
        <v>1</v>
      </c>
      <c r="L30" s="15" t="s">
        <v>41</v>
      </c>
      <c r="M30" s="28"/>
      <c r="N30" s="28"/>
      <c r="O30" s="28"/>
      <c r="P30" s="28"/>
      <c r="Q30" s="28"/>
    </row>
    <row r="31" spans="1:17" ht="21" customHeight="1">
      <c r="A31" s="9" t="s">
        <v>71</v>
      </c>
      <c r="B31" s="28" t="s">
        <v>116</v>
      </c>
      <c r="C31" s="27">
        <v>1</v>
      </c>
      <c r="D31" s="27">
        <v>1</v>
      </c>
      <c r="E31" s="12">
        <f t="shared" si="2"/>
        <v>0.83499999999999996</v>
      </c>
      <c r="F31" s="13" t="str">
        <f t="shared" si="3"/>
        <v>L</v>
      </c>
      <c r="G31" s="22">
        <v>10</v>
      </c>
      <c r="H31" s="14">
        <f t="shared" si="4"/>
        <v>8.35</v>
      </c>
      <c r="I31" s="15" t="s">
        <v>41</v>
      </c>
      <c r="J31" s="15">
        <v>0.67</v>
      </c>
      <c r="K31" s="15">
        <v>1</v>
      </c>
      <c r="L31" s="15" t="s">
        <v>41</v>
      </c>
      <c r="M31" s="35" t="s">
        <v>131</v>
      </c>
      <c r="N31" s="28"/>
      <c r="O31" s="28"/>
      <c r="P31" s="28"/>
      <c r="Q31" s="28"/>
    </row>
    <row r="32" spans="1:17" ht="24.95" customHeight="1">
      <c r="A32" s="9" t="s">
        <v>117</v>
      </c>
      <c r="B32" s="28" t="s">
        <v>118</v>
      </c>
      <c r="C32" s="27">
        <v>1</v>
      </c>
      <c r="D32" s="27">
        <v>1</v>
      </c>
      <c r="E32" s="12" t="str">
        <f t="shared" si="2"/>
        <v>-</v>
      </c>
      <c r="F32" s="13" t="str">
        <f t="shared" si="3"/>
        <v>m</v>
      </c>
      <c r="G32" s="22">
        <v>10</v>
      </c>
      <c r="H32" s="14" t="str">
        <f t="shared" si="4"/>
        <v>-</v>
      </c>
      <c r="I32" s="15" t="s">
        <v>41</v>
      </c>
      <c r="J32" s="15" t="s">
        <v>41</v>
      </c>
      <c r="K32" s="15" t="s">
        <v>41</v>
      </c>
      <c r="L32" s="15" t="s">
        <v>41</v>
      </c>
      <c r="M32" s="15"/>
      <c r="N32" s="28"/>
      <c r="O32" s="28"/>
      <c r="P32" s="28"/>
      <c r="Q32" s="28"/>
    </row>
    <row r="33" spans="1:17" ht="24.95" customHeight="1">
      <c r="A33" s="9" t="s">
        <v>119</v>
      </c>
      <c r="B33" s="28" t="s">
        <v>120</v>
      </c>
      <c r="C33" s="27">
        <v>1</v>
      </c>
      <c r="D33" s="27">
        <v>1</v>
      </c>
      <c r="E33" s="12">
        <f t="shared" si="2"/>
        <v>0.9</v>
      </c>
      <c r="F33" s="13" t="str">
        <f t="shared" si="3"/>
        <v>L</v>
      </c>
      <c r="G33" s="22">
        <v>10</v>
      </c>
      <c r="H33" s="14">
        <f t="shared" si="4"/>
        <v>9</v>
      </c>
      <c r="I33" s="15" t="s">
        <v>41</v>
      </c>
      <c r="J33" s="15">
        <v>0.9</v>
      </c>
      <c r="K33" s="15" t="s">
        <v>41</v>
      </c>
      <c r="L33" s="15" t="s">
        <v>41</v>
      </c>
      <c r="M33" s="15"/>
      <c r="N33" s="28"/>
      <c r="O33" s="28"/>
      <c r="P33" s="28"/>
      <c r="Q33" s="28"/>
    </row>
    <row r="34" spans="1:17" ht="22.5">
      <c r="B34" s="17" t="s">
        <v>73</v>
      </c>
      <c r="C34" s="18">
        <v>1</v>
      </c>
      <c r="D34" s="18">
        <v>1</v>
      </c>
      <c r="E34" s="19">
        <f>H34/G34</f>
        <v>0.89071428571428568</v>
      </c>
      <c r="F34" s="13" t="str">
        <f t="shared" si="3"/>
        <v>L</v>
      </c>
      <c r="G34" s="16">
        <f>SUMIF(H25:H33,"&gt;0",G25:G33)</f>
        <v>70</v>
      </c>
      <c r="H34" s="16">
        <f>+SUM(H25:H33)</f>
        <v>62.35</v>
      </c>
    </row>
  </sheetData>
  <mergeCells count="1">
    <mergeCell ref="M13:M17"/>
  </mergeCells>
  <conditionalFormatting sqref="F18">
    <cfRule type="containsText" dxfId="104" priority="7" operator="containsText" text="l">
      <formula>NOT(ISERROR(SEARCH("l",F18)))</formula>
    </cfRule>
    <cfRule type="containsText" dxfId="103" priority="8" operator="containsText" text="L">
      <formula>NOT(ISERROR(SEARCH("L",F18)))</formula>
    </cfRule>
    <cfRule type="containsText" dxfId="102" priority="9" operator="containsText" text="J">
      <formula>NOT(ISERROR(SEARCH("J",F18)))</formula>
    </cfRule>
  </conditionalFormatting>
  <conditionalFormatting sqref="F4:F8">
    <cfRule type="containsText" dxfId="101" priority="18" operator="containsText" text="l">
      <formula>NOT(ISERROR(SEARCH("l",F4)))</formula>
    </cfRule>
    <cfRule type="containsText" dxfId="100" priority="19" operator="containsText" text="L">
      <formula>NOT(ISERROR(SEARCH("L",F4)))</formula>
    </cfRule>
    <cfRule type="containsText" dxfId="99" priority="20" operator="containsText" text="J">
      <formula>NOT(ISERROR(SEARCH("J",F4)))</formula>
    </cfRule>
  </conditionalFormatting>
  <conditionalFormatting sqref="F13:F17">
    <cfRule type="containsText" dxfId="98" priority="4" operator="containsText" text="l">
      <formula>NOT(ISERROR(SEARCH("l",F13)))</formula>
    </cfRule>
    <cfRule type="containsText" dxfId="97" priority="5" operator="containsText" text="L">
      <formula>NOT(ISERROR(SEARCH("L",F13)))</formula>
    </cfRule>
    <cfRule type="containsText" dxfId="96" priority="6" operator="containsText" text="J">
      <formula>NOT(ISERROR(SEARCH("J",F13)))</formula>
    </cfRule>
  </conditionalFormatting>
  <conditionalFormatting sqref="F19:F20">
    <cfRule type="containsText" dxfId="95" priority="1" operator="containsText" text="l">
      <formula>NOT(ISERROR(SEARCH("l",F19)))</formula>
    </cfRule>
    <cfRule type="containsText" dxfId="94" priority="2" operator="containsText" text="L">
      <formula>NOT(ISERROR(SEARCH("L",F19)))</formula>
    </cfRule>
    <cfRule type="containsText" dxfId="93" priority="3" operator="containsText" text="J">
      <formula>NOT(ISERROR(SEARCH("J",F19)))</formula>
    </cfRule>
  </conditionalFormatting>
  <conditionalFormatting sqref="F25:F34">
    <cfRule type="containsText" dxfId="92" priority="12" operator="containsText" text="l">
      <formula>NOT(ISERROR(SEARCH("l",F25)))</formula>
    </cfRule>
    <cfRule type="containsText" dxfId="91" priority="13" operator="containsText" text="L">
      <formula>NOT(ISERROR(SEARCH("L",F25)))</formula>
    </cfRule>
    <cfRule type="containsText" dxfId="90" priority="14" operator="containsText" text="J">
      <formula>NOT(ISERROR(SEARCH("J",F25)))</formula>
    </cfRule>
  </conditionalFormatting>
  <conditionalFormatting sqref="H4:H8">
    <cfRule type="containsText" dxfId="89" priority="23" operator="containsText" text="L">
      <formula>NOT(ISERROR(SEARCH("L",H4)))</formula>
    </cfRule>
    <cfRule type="containsText" dxfId="88" priority="24" operator="containsText" text="J">
      <formula>NOT(ISERROR(SEARCH("J",H4)))</formula>
    </cfRule>
  </conditionalFormatting>
  <conditionalFormatting sqref="H13:H19">
    <cfRule type="containsText" dxfId="87" priority="10" operator="containsText" text="L">
      <formula>NOT(ISERROR(SEARCH("L",H13)))</formula>
    </cfRule>
    <cfRule type="containsText" dxfId="86" priority="11" operator="containsText" text="J">
      <formula>NOT(ISERROR(SEARCH("J",H13)))</formula>
    </cfRule>
  </conditionalFormatting>
  <conditionalFormatting sqref="H25:H33">
    <cfRule type="containsText" dxfId="85" priority="21" operator="containsText" text="L">
      <formula>NOT(ISERROR(SEARCH("L",H25)))</formula>
    </cfRule>
    <cfRule type="containsText" dxfId="84" priority="22" operator="containsText" text="J">
      <formula>NOT(ISERROR(SEARCH("J",H25)))</formula>
    </cfRule>
  </conditionalFormatting>
  <pageMargins left="0.75" right="0.75" top="1" bottom="1" header="0.51180555555555596" footer="0.51180555555555596"/>
  <pageSetup paperSize="9"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opLeftCell="A7" workbookViewId="0">
      <selection activeCell="M18" sqref="M18"/>
    </sheetView>
  </sheetViews>
  <sheetFormatPr baseColWidth="10" defaultColWidth="9.140625" defaultRowHeight="15"/>
  <cols>
    <col min="1" max="1" width="3.5703125" style="2" customWidth="1"/>
    <col min="2" max="2" width="77.28515625" customWidth="1"/>
    <col min="3" max="3" width="11.28515625" customWidth="1"/>
    <col min="5" max="5" width="11.140625" customWidth="1"/>
    <col min="6" max="6" width="12.28515625" customWidth="1"/>
    <col min="7" max="7" width="9" customWidth="1"/>
    <col min="8" max="8" width="8.7109375" style="3" customWidth="1"/>
    <col min="13" max="13" width="26" customWidth="1"/>
    <col min="14" max="14" width="19.5703125" customWidth="1"/>
    <col min="16" max="16" width="10.28515625" customWidth="1"/>
    <col min="17" max="17" width="15.7109375" customWidth="1"/>
  </cols>
  <sheetData>
    <row r="1" spans="1:17">
      <c r="A1" s="4" t="s">
        <v>19</v>
      </c>
      <c r="B1" s="5"/>
      <c r="C1" s="5"/>
    </row>
    <row r="3" spans="1:17" s="1" customFormat="1" ht="30">
      <c r="A3" s="6" t="s">
        <v>20</v>
      </c>
      <c r="B3" s="7" t="s">
        <v>21</v>
      </c>
      <c r="C3" s="7" t="s">
        <v>22</v>
      </c>
      <c r="D3" s="7" t="s">
        <v>102</v>
      </c>
      <c r="E3" s="7" t="s">
        <v>103</v>
      </c>
      <c r="F3" s="7" t="s">
        <v>25</v>
      </c>
      <c r="G3" s="7" t="s">
        <v>26</v>
      </c>
      <c r="H3" s="8" t="s">
        <v>27</v>
      </c>
      <c r="I3" s="7" t="s">
        <v>28</v>
      </c>
      <c r="J3" s="7" t="s">
        <v>29</v>
      </c>
      <c r="K3" s="7" t="s">
        <v>30</v>
      </c>
      <c r="L3" s="7" t="s">
        <v>31</v>
      </c>
      <c r="M3" s="7" t="s">
        <v>32</v>
      </c>
      <c r="N3" s="7" t="s">
        <v>33</v>
      </c>
      <c r="O3" s="7" t="s">
        <v>34</v>
      </c>
      <c r="P3" s="7" t="s">
        <v>35</v>
      </c>
      <c r="Q3" s="7" t="s">
        <v>36</v>
      </c>
    </row>
    <row r="4" spans="1:17" ht="22.5">
      <c r="A4" s="9" t="s">
        <v>37</v>
      </c>
      <c r="B4" s="10" t="s">
        <v>132</v>
      </c>
      <c r="C4" s="15">
        <v>0.8</v>
      </c>
      <c r="D4" s="15">
        <v>0.8</v>
      </c>
      <c r="E4" s="12">
        <f>+IFERROR(AVERAGE(I4:K4),"-")</f>
        <v>0.71583333333333332</v>
      </c>
      <c r="F4" s="13" t="str">
        <f t="shared" ref="F4:F9" si="0">IF(E4="-","m",IF(E4&lt;D4,"L","J"))</f>
        <v>L</v>
      </c>
      <c r="G4" s="22">
        <v>20</v>
      </c>
      <c r="H4" s="14">
        <v>17.8958333333333</v>
      </c>
      <c r="I4" s="15">
        <v>0.68</v>
      </c>
      <c r="J4" s="49">
        <v>0.71499999999999997</v>
      </c>
      <c r="K4" s="49">
        <v>0.75249999999999995</v>
      </c>
      <c r="L4" s="49">
        <v>0.8528</v>
      </c>
      <c r="M4" s="28" t="s">
        <v>202</v>
      </c>
      <c r="N4" s="28"/>
      <c r="O4" s="28"/>
      <c r="P4" s="28"/>
      <c r="Q4" s="28"/>
    </row>
    <row r="5" spans="1:17" ht="22.5">
      <c r="A5" s="9" t="s">
        <v>39</v>
      </c>
      <c r="B5" s="10" t="s">
        <v>133</v>
      </c>
      <c r="C5" s="15">
        <v>0.95</v>
      </c>
      <c r="D5" s="15">
        <v>0.95</v>
      </c>
      <c r="E5" s="12">
        <f>+IFERROR(AVERAGE(I5:K5),"-")</f>
        <v>1</v>
      </c>
      <c r="F5" s="13" t="str">
        <f t="shared" si="0"/>
        <v>J</v>
      </c>
      <c r="G5" s="22">
        <v>20</v>
      </c>
      <c r="H5" s="14">
        <f>IFERROR(IF(E5="-","-",IF(E5&gt;D5,G5,G5*E5/D5)),"-")</f>
        <v>20</v>
      </c>
      <c r="I5" s="15">
        <v>1</v>
      </c>
      <c r="J5" s="15">
        <v>1</v>
      </c>
      <c r="K5" s="15">
        <v>1</v>
      </c>
      <c r="L5" s="15">
        <v>1</v>
      </c>
      <c r="M5" s="28"/>
      <c r="N5" s="28"/>
      <c r="O5" s="28"/>
      <c r="P5" s="28"/>
      <c r="Q5" s="28"/>
    </row>
    <row r="6" spans="1:17" ht="22.5">
      <c r="A6" s="9" t="s">
        <v>46</v>
      </c>
      <c r="B6" s="10" t="s">
        <v>134</v>
      </c>
      <c r="C6" s="15">
        <v>0.98</v>
      </c>
      <c r="D6" s="15">
        <v>0.98</v>
      </c>
      <c r="E6" s="12">
        <f>+IFERROR(AVERAGE(I6:K6),"-")</f>
        <v>0.99713333333333332</v>
      </c>
      <c r="F6" s="13" t="str">
        <f t="shared" si="0"/>
        <v>J</v>
      </c>
      <c r="G6" s="22">
        <v>20</v>
      </c>
      <c r="H6" s="14">
        <f>IFERROR(IF(E6="-","-",IF(E6&gt;D6,G6,G6*E6/D6)),"-")</f>
        <v>20</v>
      </c>
      <c r="I6" s="50">
        <v>0.99160000000000004</v>
      </c>
      <c r="J6" s="15">
        <v>1</v>
      </c>
      <c r="K6" s="15">
        <v>0.99980000000000002</v>
      </c>
      <c r="L6" s="15"/>
      <c r="M6" s="28" t="s">
        <v>201</v>
      </c>
      <c r="N6" s="28"/>
      <c r="O6" s="28"/>
      <c r="P6" s="28"/>
      <c r="Q6" s="28"/>
    </row>
    <row r="7" spans="1:17" ht="22.5">
      <c r="A7" s="9" t="s">
        <v>50</v>
      </c>
      <c r="B7" s="10" t="s">
        <v>135</v>
      </c>
      <c r="C7" s="15">
        <v>0.98</v>
      </c>
      <c r="D7" s="15">
        <v>0.98</v>
      </c>
      <c r="E7" s="12">
        <f>+IFERROR(AVERAGE(I7:K7),"-")</f>
        <v>1</v>
      </c>
      <c r="F7" s="13" t="str">
        <f t="shared" si="0"/>
        <v>J</v>
      </c>
      <c r="G7" s="22">
        <v>20</v>
      </c>
      <c r="H7" s="14">
        <f>IFERROR(IF(E7="-","-",IF(E7&gt;D7,G7,G7*E7/D7)),"-")</f>
        <v>20</v>
      </c>
      <c r="I7" s="15">
        <v>1</v>
      </c>
      <c r="J7" s="15">
        <v>1</v>
      </c>
      <c r="K7" s="15">
        <v>1</v>
      </c>
      <c r="L7" s="15">
        <v>1</v>
      </c>
      <c r="M7" s="28"/>
      <c r="N7" s="28"/>
      <c r="O7" s="28"/>
      <c r="P7" s="28"/>
      <c r="Q7" s="28"/>
    </row>
    <row r="8" spans="1:17" ht="22.5">
      <c r="A8" s="9" t="s">
        <v>55</v>
      </c>
      <c r="B8" s="10" t="s">
        <v>136</v>
      </c>
      <c r="C8" s="15">
        <v>0.9</v>
      </c>
      <c r="D8" s="15">
        <v>0.9</v>
      </c>
      <c r="E8" s="12">
        <f>+IFERROR(AVERAGE(I8:K8),"-")</f>
        <v>0.78103333333333336</v>
      </c>
      <c r="F8" s="13" t="str">
        <f t="shared" si="0"/>
        <v>L</v>
      </c>
      <c r="G8" s="22">
        <v>20</v>
      </c>
      <c r="H8" s="14">
        <f>IFERROR(IF(E8="-","-",IF(E8&gt;D8,G8,G8*E8/D8)),"-")</f>
        <v>17.356296296296296</v>
      </c>
      <c r="I8" s="15">
        <v>0.75</v>
      </c>
      <c r="J8" s="15">
        <v>0.8</v>
      </c>
      <c r="K8" s="15">
        <v>0.79310000000000003</v>
      </c>
      <c r="L8" s="15">
        <v>0.80379999999999996</v>
      </c>
      <c r="M8" s="28"/>
      <c r="N8" s="28"/>
      <c r="O8" s="28"/>
      <c r="P8" s="28"/>
      <c r="Q8" s="28"/>
    </row>
    <row r="9" spans="1:17" ht="22.5">
      <c r="B9" s="17" t="s">
        <v>62</v>
      </c>
      <c r="C9" s="18">
        <v>1</v>
      </c>
      <c r="D9" s="18">
        <v>0.25</v>
      </c>
      <c r="E9" s="19">
        <f>IFERROR(H9/G9,"-")</f>
        <v>0.95252129629629589</v>
      </c>
      <c r="F9" s="13" t="str">
        <f t="shared" si="0"/>
        <v>J</v>
      </c>
      <c r="G9" s="11">
        <f>SUM(G4:G8)</f>
        <v>100</v>
      </c>
      <c r="H9" s="14">
        <f>SUM(H4:H8)</f>
        <v>95.252129629629593</v>
      </c>
    </row>
    <row r="10" spans="1:17">
      <c r="E10" s="20"/>
    </row>
    <row r="11" spans="1:17">
      <c r="A11" s="4" t="s">
        <v>63</v>
      </c>
      <c r="B11" s="5"/>
      <c r="C11" s="5"/>
      <c r="F11" s="20"/>
    </row>
    <row r="13" spans="1:17" ht="30">
      <c r="A13" s="6" t="s">
        <v>20</v>
      </c>
      <c r="B13" s="7" t="s">
        <v>21</v>
      </c>
      <c r="C13" s="7" t="s">
        <v>22</v>
      </c>
      <c r="D13" s="7" t="s">
        <v>23</v>
      </c>
      <c r="E13" s="7" t="s">
        <v>24</v>
      </c>
      <c r="F13" s="7" t="s">
        <v>25</v>
      </c>
      <c r="G13" s="7" t="s">
        <v>26</v>
      </c>
      <c r="H13" s="8" t="s">
        <v>64</v>
      </c>
      <c r="I13" s="7" t="s">
        <v>28</v>
      </c>
      <c r="J13" s="7" t="s">
        <v>29</v>
      </c>
      <c r="K13" s="7" t="s">
        <v>30</v>
      </c>
      <c r="L13" s="7" t="s">
        <v>31</v>
      </c>
      <c r="M13" s="7" t="s">
        <v>32</v>
      </c>
      <c r="N13" s="7" t="s">
        <v>33</v>
      </c>
      <c r="O13" s="7" t="s">
        <v>34</v>
      </c>
      <c r="P13" s="7" t="s">
        <v>35</v>
      </c>
      <c r="Q13" s="7" t="s">
        <v>36</v>
      </c>
    </row>
    <row r="14" spans="1:17" ht="22.5">
      <c r="A14" s="9" t="s">
        <v>37</v>
      </c>
      <c r="B14" s="10" t="s">
        <v>65</v>
      </c>
      <c r="C14" s="21">
        <f>3*20*12</f>
        <v>720</v>
      </c>
      <c r="D14" s="21">
        <f>3*20*4</f>
        <v>240</v>
      </c>
      <c r="E14" s="16">
        <f>SUM(I14:L14)</f>
        <v>10</v>
      </c>
      <c r="F14" s="13" t="str">
        <f t="shared" ref="F14:F21" si="1">IF(E14="-","m",IF(E14&lt;D14,"L","J"))</f>
        <v>L</v>
      </c>
      <c r="G14" s="22">
        <v>20</v>
      </c>
      <c r="H14" s="14">
        <f t="shared" ref="H14:H20" si="2">IFERROR(IF(E14="-","-",IF(E14&gt;D14,G14,G14*E14/D14)),"-")</f>
        <v>0.83333333333333337</v>
      </c>
      <c r="I14" s="11">
        <v>1</v>
      </c>
      <c r="J14" s="11">
        <v>0</v>
      </c>
      <c r="K14" s="11">
        <v>9</v>
      </c>
      <c r="L14" s="11">
        <v>0</v>
      </c>
      <c r="M14" s="28"/>
      <c r="N14" s="28"/>
      <c r="O14" s="28"/>
      <c r="P14" s="28"/>
      <c r="Q14" s="28"/>
    </row>
    <row r="15" spans="1:17" ht="22.5">
      <c r="A15" s="9" t="s">
        <v>39</v>
      </c>
      <c r="B15" s="23" t="s">
        <v>66</v>
      </c>
      <c r="C15" s="21"/>
      <c r="D15" s="21"/>
      <c r="E15" s="16"/>
      <c r="F15" s="13"/>
      <c r="G15" s="22"/>
      <c r="H15" s="14"/>
      <c r="I15" s="11"/>
      <c r="J15" s="11"/>
      <c r="K15" s="11"/>
      <c r="L15" s="11"/>
      <c r="M15" s="28"/>
      <c r="N15" s="28"/>
      <c r="O15" s="28"/>
      <c r="P15" s="28"/>
      <c r="Q15" s="28"/>
    </row>
    <row r="16" spans="1:17" ht="22.5">
      <c r="A16" s="9" t="s">
        <v>46</v>
      </c>
      <c r="B16" s="10" t="s">
        <v>67</v>
      </c>
      <c r="C16" s="21">
        <f>C14*90/100</f>
        <v>648</v>
      </c>
      <c r="D16" s="21">
        <f>D14*90/100</f>
        <v>216</v>
      </c>
      <c r="E16" s="16">
        <f>SUM(I16:L16)</f>
        <v>1</v>
      </c>
      <c r="F16" s="13" t="str">
        <f t="shared" si="1"/>
        <v>L</v>
      </c>
      <c r="G16" s="22">
        <v>20</v>
      </c>
      <c r="H16" s="14">
        <f t="shared" si="2"/>
        <v>9.2592592592592587E-2</v>
      </c>
      <c r="I16" s="11">
        <v>1</v>
      </c>
      <c r="J16" s="11">
        <v>0</v>
      </c>
      <c r="K16" s="11">
        <v>0</v>
      </c>
      <c r="L16" s="11">
        <v>0</v>
      </c>
      <c r="M16" s="28"/>
      <c r="N16" s="28"/>
      <c r="O16" s="28"/>
      <c r="P16" s="28"/>
      <c r="Q16" s="28"/>
    </row>
    <row r="17" spans="1:17" ht="22.5">
      <c r="A17" s="9" t="s">
        <v>50</v>
      </c>
      <c r="B17" s="10" t="s">
        <v>68</v>
      </c>
      <c r="C17" s="21">
        <f>C16*90/100</f>
        <v>583.20000000000005</v>
      </c>
      <c r="D17" s="21">
        <f>D16*90/100</f>
        <v>194.4</v>
      </c>
      <c r="E17" s="24">
        <f>SUM(I17:L17)</f>
        <v>1</v>
      </c>
      <c r="F17" s="13" t="str">
        <f t="shared" si="1"/>
        <v>L</v>
      </c>
      <c r="G17" s="22">
        <v>20</v>
      </c>
      <c r="H17" s="14">
        <f t="shared" si="2"/>
        <v>0.102880658436214</v>
      </c>
      <c r="I17" s="34">
        <v>1</v>
      </c>
      <c r="J17" s="11">
        <v>0</v>
      </c>
      <c r="K17" s="11">
        <v>0</v>
      </c>
      <c r="L17" s="11">
        <v>0</v>
      </c>
      <c r="M17" s="28"/>
      <c r="N17" s="28"/>
      <c r="O17" s="28"/>
      <c r="P17" s="28"/>
      <c r="Q17" s="28"/>
    </row>
    <row r="18" spans="1:17" ht="22.5">
      <c r="A18" s="9" t="s">
        <v>55</v>
      </c>
      <c r="B18" s="23" t="s">
        <v>69</v>
      </c>
      <c r="C18" s="21"/>
      <c r="D18" s="21"/>
      <c r="E18" s="24"/>
      <c r="F18" s="13"/>
      <c r="G18" s="22"/>
      <c r="H18" s="14"/>
      <c r="I18" s="34"/>
      <c r="J18" s="11"/>
      <c r="K18" s="11"/>
      <c r="L18" s="11"/>
      <c r="M18" s="28"/>
      <c r="N18" s="28"/>
      <c r="O18" s="28"/>
      <c r="P18" s="28"/>
      <c r="Q18" s="28"/>
    </row>
    <row r="19" spans="1:17" ht="22.5">
      <c r="A19" s="9" t="s">
        <v>58</v>
      </c>
      <c r="B19" s="25" t="s">
        <v>70</v>
      </c>
      <c r="C19" s="15">
        <v>0.02</v>
      </c>
      <c r="D19" s="15">
        <v>0.02</v>
      </c>
      <c r="E19" s="12">
        <f>IFERROR(AVERAGE(I19:L19),"-")</f>
        <v>0</v>
      </c>
      <c r="F19" s="13" t="str">
        <f>IF(E19="-","m",IF(E19&lt;D19,"J","L"))</f>
        <v>J</v>
      </c>
      <c r="G19" s="22">
        <v>20</v>
      </c>
      <c r="H19" s="14">
        <f t="shared" si="2"/>
        <v>0</v>
      </c>
      <c r="I19" s="15">
        <v>0</v>
      </c>
      <c r="J19" s="15">
        <v>0</v>
      </c>
      <c r="K19" s="15">
        <v>0</v>
      </c>
      <c r="L19" s="15">
        <v>0</v>
      </c>
      <c r="M19" s="28"/>
      <c r="N19" s="28"/>
      <c r="O19" s="28"/>
      <c r="P19" s="28"/>
      <c r="Q19" s="28"/>
    </row>
    <row r="20" spans="1:17" ht="21" customHeight="1">
      <c r="A20" s="9" t="s">
        <v>71</v>
      </c>
      <c r="B20" s="25" t="s">
        <v>72</v>
      </c>
      <c r="C20" s="18">
        <v>0.98</v>
      </c>
      <c r="D20" s="18">
        <v>0.98</v>
      </c>
      <c r="E20" s="12">
        <f>IFERROR(AVERAGE(I20:L20),"-")</f>
        <v>0.25</v>
      </c>
      <c r="F20" s="13" t="str">
        <f t="shared" si="1"/>
        <v>L</v>
      </c>
      <c r="G20" s="22">
        <v>20</v>
      </c>
      <c r="H20" s="14">
        <f t="shared" si="2"/>
        <v>5.1020408163265305</v>
      </c>
      <c r="I20" s="18">
        <v>1</v>
      </c>
      <c r="J20" s="18">
        <v>0</v>
      </c>
      <c r="K20" s="18">
        <v>0</v>
      </c>
      <c r="L20" s="18">
        <v>0</v>
      </c>
      <c r="M20" s="28"/>
      <c r="N20" s="28"/>
      <c r="O20" s="28"/>
      <c r="P20" s="28"/>
      <c r="Q20" s="28"/>
    </row>
    <row r="21" spans="1:17" ht="22.5">
      <c r="B21" s="17" t="s">
        <v>73</v>
      </c>
      <c r="C21" s="18">
        <v>1</v>
      </c>
      <c r="D21" s="18">
        <v>1</v>
      </c>
      <c r="E21" s="19">
        <f>H21/G21</f>
        <v>6.1308474006886708E-2</v>
      </c>
      <c r="F21" s="13" t="str">
        <f t="shared" si="1"/>
        <v>L</v>
      </c>
      <c r="G21" s="11">
        <f>SUM(G13:G20)</f>
        <v>100</v>
      </c>
      <c r="H21" s="14">
        <f>SUM(H13:H20)</f>
        <v>6.1308474006886708</v>
      </c>
    </row>
    <row r="23" spans="1:17">
      <c r="A23" s="4" t="s">
        <v>109</v>
      </c>
      <c r="B23" s="5"/>
      <c r="C23" s="5"/>
      <c r="F23" s="20"/>
    </row>
    <row r="25" spans="1:17" ht="30">
      <c r="A25" s="6" t="s">
        <v>20</v>
      </c>
      <c r="B25" s="7" t="s">
        <v>21</v>
      </c>
      <c r="C25" s="7"/>
      <c r="D25" s="7" t="s">
        <v>22</v>
      </c>
      <c r="E25" s="7" t="s">
        <v>137</v>
      </c>
      <c r="F25" s="7" t="s">
        <v>25</v>
      </c>
      <c r="G25" s="7" t="s">
        <v>26</v>
      </c>
      <c r="H25" s="8" t="s">
        <v>138</v>
      </c>
      <c r="I25" s="7" t="s">
        <v>28</v>
      </c>
      <c r="J25" s="7" t="s">
        <v>29</v>
      </c>
      <c r="K25" s="7" t="s">
        <v>30</v>
      </c>
      <c r="L25" s="7" t="s">
        <v>31</v>
      </c>
      <c r="M25" s="7" t="s">
        <v>32</v>
      </c>
      <c r="N25" s="7" t="s">
        <v>33</v>
      </c>
      <c r="O25" s="7" t="s">
        <v>34</v>
      </c>
      <c r="P25" s="7" t="s">
        <v>35</v>
      </c>
      <c r="Q25" s="7" t="s">
        <v>36</v>
      </c>
    </row>
    <row r="26" spans="1:17" ht="25.5">
      <c r="A26" s="9" t="s">
        <v>37</v>
      </c>
      <c r="B26" s="26" t="s">
        <v>110</v>
      </c>
      <c r="C26" s="26"/>
      <c r="D26" s="27">
        <v>1</v>
      </c>
      <c r="E26" s="12">
        <f t="shared" ref="E26:E34" si="3">IFERROR(AVERAGE(I26:K26),"-")</f>
        <v>0.25</v>
      </c>
      <c r="F26" s="13" t="str">
        <f t="shared" ref="F26:F35" si="4">IF(E26="-","m",IF(E26&lt;D26,"L","J"))</f>
        <v>L</v>
      </c>
      <c r="G26" s="22">
        <v>20</v>
      </c>
      <c r="H26" s="14">
        <f t="shared" ref="H26:H34" si="5">IF(E26="-","-",IF(E26&gt;D26,G26,G26*E26/D26))</f>
        <v>5</v>
      </c>
      <c r="I26" s="15" t="s">
        <v>41</v>
      </c>
      <c r="J26" s="15" t="s">
        <v>41</v>
      </c>
      <c r="K26" s="15">
        <v>0.25</v>
      </c>
      <c r="L26" s="15">
        <v>0.5</v>
      </c>
      <c r="M26" s="120" t="s">
        <v>190</v>
      </c>
      <c r="N26" s="28"/>
      <c r="O26" s="28"/>
      <c r="P26" s="28"/>
      <c r="Q26" s="28"/>
    </row>
    <row r="27" spans="1:17" ht="22.5">
      <c r="A27" s="9" t="s">
        <v>39</v>
      </c>
      <c r="B27" s="26" t="s">
        <v>111</v>
      </c>
      <c r="C27" s="26"/>
      <c r="D27" s="27">
        <v>1</v>
      </c>
      <c r="E27" s="12">
        <f t="shared" si="3"/>
        <v>1</v>
      </c>
      <c r="F27" s="13" t="str">
        <f t="shared" si="4"/>
        <v>J</v>
      </c>
      <c r="G27" s="22">
        <v>10</v>
      </c>
      <c r="H27" s="14">
        <f t="shared" si="5"/>
        <v>10</v>
      </c>
      <c r="I27" s="15" t="s">
        <v>41</v>
      </c>
      <c r="J27" s="15" t="s">
        <v>41</v>
      </c>
      <c r="K27" s="15">
        <v>1</v>
      </c>
      <c r="L27" s="15">
        <v>1</v>
      </c>
      <c r="M27" s="15"/>
      <c r="N27" s="28"/>
      <c r="O27" s="28"/>
      <c r="P27" s="28"/>
      <c r="Q27" s="28"/>
    </row>
    <row r="28" spans="1:17" ht="22.5">
      <c r="A28" s="9" t="s">
        <v>46</v>
      </c>
      <c r="B28" s="26" t="s">
        <v>112</v>
      </c>
      <c r="C28" s="26"/>
      <c r="D28" s="27">
        <v>1</v>
      </c>
      <c r="E28" s="12" t="str">
        <f t="shared" si="3"/>
        <v>-</v>
      </c>
      <c r="F28" s="13" t="str">
        <f t="shared" si="4"/>
        <v>m</v>
      </c>
      <c r="G28" s="22">
        <v>10</v>
      </c>
      <c r="H28" s="14" t="str">
        <f t="shared" si="5"/>
        <v>-</v>
      </c>
      <c r="I28" s="15" t="s">
        <v>41</v>
      </c>
      <c r="J28" s="15" t="s">
        <v>41</v>
      </c>
      <c r="K28" s="15" t="s">
        <v>41</v>
      </c>
      <c r="L28" s="15" t="s">
        <v>41</v>
      </c>
      <c r="M28" s="15"/>
      <c r="N28" s="28"/>
      <c r="O28" s="28"/>
      <c r="P28" s="28"/>
      <c r="Q28" s="28"/>
    </row>
    <row r="29" spans="1:17" ht="22.5">
      <c r="A29" s="9" t="s">
        <v>50</v>
      </c>
      <c r="B29" s="26" t="s">
        <v>113</v>
      </c>
      <c r="C29" s="26"/>
      <c r="D29" s="27">
        <v>1</v>
      </c>
      <c r="E29" s="12">
        <f t="shared" si="3"/>
        <v>1</v>
      </c>
      <c r="F29" s="13" t="str">
        <f t="shared" si="4"/>
        <v>J</v>
      </c>
      <c r="G29" s="22">
        <v>10</v>
      </c>
      <c r="H29" s="14">
        <f t="shared" si="5"/>
        <v>10</v>
      </c>
      <c r="I29" s="15" t="s">
        <v>41</v>
      </c>
      <c r="J29" s="15">
        <v>1</v>
      </c>
      <c r="K29" s="15" t="s">
        <v>41</v>
      </c>
      <c r="L29" s="15" t="s">
        <v>41</v>
      </c>
      <c r="M29" s="35"/>
      <c r="N29" s="28"/>
      <c r="O29" s="28"/>
      <c r="P29" s="28"/>
      <c r="Q29" s="28"/>
    </row>
    <row r="30" spans="1:17" ht="22.5">
      <c r="A30" s="9" t="s">
        <v>55</v>
      </c>
      <c r="B30" s="26" t="s">
        <v>114</v>
      </c>
      <c r="C30" s="26"/>
      <c r="D30" s="27">
        <v>1</v>
      </c>
      <c r="E30" s="12">
        <f t="shared" si="3"/>
        <v>0.75</v>
      </c>
      <c r="F30" s="13" t="str">
        <f t="shared" si="4"/>
        <v>L</v>
      </c>
      <c r="G30" s="22">
        <v>10</v>
      </c>
      <c r="H30" s="14">
        <f t="shared" si="5"/>
        <v>7.5</v>
      </c>
      <c r="I30" s="15" t="s">
        <v>41</v>
      </c>
      <c r="J30" s="40"/>
      <c r="K30" s="18">
        <v>0.75</v>
      </c>
      <c r="L30" s="15">
        <v>1</v>
      </c>
      <c r="M30" s="35" t="s">
        <v>203</v>
      </c>
      <c r="N30" s="28"/>
      <c r="O30" s="28"/>
      <c r="P30" s="28"/>
      <c r="Q30" s="28"/>
    </row>
    <row r="31" spans="1:17" ht="21" customHeight="1">
      <c r="A31" s="9" t="s">
        <v>58</v>
      </c>
      <c r="B31" s="28" t="s">
        <v>115</v>
      </c>
      <c r="C31" s="28"/>
      <c r="D31" s="27">
        <v>1</v>
      </c>
      <c r="E31" s="12">
        <f t="shared" si="3"/>
        <v>1</v>
      </c>
      <c r="F31" s="13" t="str">
        <f t="shared" si="4"/>
        <v>J</v>
      </c>
      <c r="G31" s="22">
        <v>10</v>
      </c>
      <c r="H31" s="14">
        <f t="shared" si="5"/>
        <v>10</v>
      </c>
      <c r="I31" s="15" t="s">
        <v>41</v>
      </c>
      <c r="J31" s="15" t="s">
        <v>41</v>
      </c>
      <c r="K31" s="15">
        <v>1</v>
      </c>
      <c r="L31" s="15" t="s">
        <v>41</v>
      </c>
      <c r="M31" s="28"/>
      <c r="N31" s="28"/>
      <c r="O31" s="28"/>
      <c r="P31" s="28"/>
      <c r="Q31" s="28"/>
    </row>
    <row r="32" spans="1:17" ht="21" customHeight="1">
      <c r="A32" s="9" t="s">
        <v>71</v>
      </c>
      <c r="B32" s="28" t="s">
        <v>116</v>
      </c>
      <c r="C32" s="28"/>
      <c r="D32" s="27">
        <v>1</v>
      </c>
      <c r="E32" s="12">
        <f t="shared" si="3"/>
        <v>1</v>
      </c>
      <c r="F32" s="13" t="str">
        <f t="shared" si="4"/>
        <v>J</v>
      </c>
      <c r="G32" s="22">
        <v>10</v>
      </c>
      <c r="H32" s="14">
        <f t="shared" si="5"/>
        <v>10</v>
      </c>
      <c r="I32" s="15" t="s">
        <v>41</v>
      </c>
      <c r="J32" s="15" t="s">
        <v>41</v>
      </c>
      <c r="K32" s="15">
        <v>1</v>
      </c>
      <c r="L32" s="15">
        <v>0.75</v>
      </c>
      <c r="M32" s="35" t="s">
        <v>204</v>
      </c>
      <c r="N32" s="28" t="s">
        <v>205</v>
      </c>
      <c r="O32" s="28" t="s">
        <v>206</v>
      </c>
      <c r="P32" s="82">
        <v>43238</v>
      </c>
      <c r="Q32" s="28"/>
    </row>
    <row r="33" spans="1:17" ht="24.95" customHeight="1">
      <c r="A33" s="9" t="s">
        <v>117</v>
      </c>
      <c r="B33" s="28" t="s">
        <v>118</v>
      </c>
      <c r="C33" s="28"/>
      <c r="D33" s="27">
        <v>1</v>
      </c>
      <c r="E33" s="12" t="str">
        <f t="shared" si="3"/>
        <v>-</v>
      </c>
      <c r="F33" s="13" t="str">
        <f t="shared" si="4"/>
        <v>m</v>
      </c>
      <c r="G33" s="22">
        <v>10</v>
      </c>
      <c r="H33" s="14" t="str">
        <f t="shared" si="5"/>
        <v>-</v>
      </c>
      <c r="I33" s="15" t="s">
        <v>41</v>
      </c>
      <c r="J33" s="15" t="s">
        <v>41</v>
      </c>
      <c r="K33" s="15" t="s">
        <v>41</v>
      </c>
      <c r="L33" s="15" t="s">
        <v>41</v>
      </c>
      <c r="M33" s="15"/>
      <c r="N33" s="28"/>
      <c r="O33" s="28"/>
      <c r="P33" s="28"/>
      <c r="Q33" s="28"/>
    </row>
    <row r="34" spans="1:17" ht="24.95" customHeight="1">
      <c r="A34" s="9" t="s">
        <v>119</v>
      </c>
      <c r="B34" s="28" t="s">
        <v>120</v>
      </c>
      <c r="C34" s="28"/>
      <c r="D34" s="27">
        <v>1</v>
      </c>
      <c r="E34" s="12">
        <f t="shared" si="3"/>
        <v>0.79</v>
      </c>
      <c r="F34" s="13" t="str">
        <f t="shared" si="4"/>
        <v>L</v>
      </c>
      <c r="G34" s="22">
        <v>10</v>
      </c>
      <c r="H34" s="14">
        <f t="shared" si="5"/>
        <v>7.9</v>
      </c>
      <c r="I34" s="15" t="s">
        <v>41</v>
      </c>
      <c r="J34" s="18">
        <v>0.79</v>
      </c>
      <c r="K34" s="15" t="s">
        <v>41</v>
      </c>
      <c r="L34" s="15" t="s">
        <v>41</v>
      </c>
      <c r="M34" s="15"/>
      <c r="N34" s="28"/>
      <c r="O34" s="28"/>
      <c r="P34" s="28"/>
      <c r="Q34" s="28"/>
    </row>
    <row r="35" spans="1:17" ht="22.5">
      <c r="B35" s="17" t="s">
        <v>73</v>
      </c>
      <c r="C35" s="18">
        <v>1</v>
      </c>
      <c r="D35" s="18">
        <v>1</v>
      </c>
      <c r="E35" s="19">
        <f>H35/G35</f>
        <v>0.755</v>
      </c>
      <c r="F35" s="13" t="str">
        <f t="shared" si="4"/>
        <v>L</v>
      </c>
      <c r="G35" s="16">
        <f>SUMIF(H26:H34,"&gt;0",G26:G34)</f>
        <v>80</v>
      </c>
      <c r="H35" s="16">
        <f>+SUM(H26:H34)</f>
        <v>60.4</v>
      </c>
    </row>
  </sheetData>
  <conditionalFormatting sqref="F19">
    <cfRule type="containsText" dxfId="83" priority="7" operator="containsText" text="l">
      <formula>NOT(ISERROR(SEARCH("l",F19)))</formula>
    </cfRule>
    <cfRule type="containsText" dxfId="82" priority="8" operator="containsText" text="L">
      <formula>NOT(ISERROR(SEARCH("L",F19)))</formula>
    </cfRule>
    <cfRule type="containsText" dxfId="81" priority="9" operator="containsText" text="J">
      <formula>NOT(ISERROR(SEARCH("J",F19)))</formula>
    </cfRule>
  </conditionalFormatting>
  <conditionalFormatting sqref="F4:F9">
    <cfRule type="containsText" dxfId="80" priority="18" operator="containsText" text="l">
      <formula>NOT(ISERROR(SEARCH("l",F4)))</formula>
    </cfRule>
    <cfRule type="containsText" dxfId="79" priority="19" operator="containsText" text="L">
      <formula>NOT(ISERROR(SEARCH("L",F4)))</formula>
    </cfRule>
    <cfRule type="containsText" dxfId="78" priority="20" operator="containsText" text="J">
      <formula>NOT(ISERROR(SEARCH("J",F4)))</formula>
    </cfRule>
  </conditionalFormatting>
  <conditionalFormatting sqref="F14:F18">
    <cfRule type="containsText" dxfId="77" priority="4" operator="containsText" text="l">
      <formula>NOT(ISERROR(SEARCH("l",F14)))</formula>
    </cfRule>
    <cfRule type="containsText" dxfId="76" priority="5" operator="containsText" text="L">
      <formula>NOT(ISERROR(SEARCH("L",F14)))</formula>
    </cfRule>
    <cfRule type="containsText" dxfId="75" priority="6" operator="containsText" text="J">
      <formula>NOT(ISERROR(SEARCH("J",F14)))</formula>
    </cfRule>
  </conditionalFormatting>
  <conditionalFormatting sqref="F20:F21">
    <cfRule type="containsText" dxfId="74" priority="1" operator="containsText" text="l">
      <formula>NOT(ISERROR(SEARCH("l",F20)))</formula>
    </cfRule>
    <cfRule type="containsText" dxfId="73" priority="2" operator="containsText" text="L">
      <formula>NOT(ISERROR(SEARCH("L",F20)))</formula>
    </cfRule>
    <cfRule type="containsText" dxfId="72" priority="3" operator="containsText" text="J">
      <formula>NOT(ISERROR(SEARCH("J",F20)))</formula>
    </cfRule>
  </conditionalFormatting>
  <conditionalFormatting sqref="F26:F35">
    <cfRule type="containsText" dxfId="71" priority="12" operator="containsText" text="l">
      <formula>NOT(ISERROR(SEARCH("l",F26)))</formula>
    </cfRule>
    <cfRule type="containsText" dxfId="70" priority="13" operator="containsText" text="L">
      <formula>NOT(ISERROR(SEARCH("L",F26)))</formula>
    </cfRule>
    <cfRule type="containsText" dxfId="69" priority="14" operator="containsText" text="J">
      <formula>NOT(ISERROR(SEARCH("J",F26)))</formula>
    </cfRule>
  </conditionalFormatting>
  <conditionalFormatting sqref="H4:H9">
    <cfRule type="containsText" dxfId="68" priority="23" operator="containsText" text="L">
      <formula>NOT(ISERROR(SEARCH("L",H4)))</formula>
    </cfRule>
    <cfRule type="containsText" dxfId="67" priority="24" operator="containsText" text="J">
      <formula>NOT(ISERROR(SEARCH("J",H4)))</formula>
    </cfRule>
  </conditionalFormatting>
  <conditionalFormatting sqref="H14:H20">
    <cfRule type="containsText" dxfId="66" priority="10" operator="containsText" text="L">
      <formula>NOT(ISERROR(SEARCH("L",H14)))</formula>
    </cfRule>
    <cfRule type="containsText" dxfId="65" priority="11" operator="containsText" text="J">
      <formula>NOT(ISERROR(SEARCH("J",H14)))</formula>
    </cfRule>
  </conditionalFormatting>
  <conditionalFormatting sqref="H26:H34">
    <cfRule type="containsText" dxfId="64" priority="21" operator="containsText" text="L">
      <formula>NOT(ISERROR(SEARCH("L",H26)))</formula>
    </cfRule>
    <cfRule type="containsText" dxfId="63" priority="22" operator="containsText" text="J">
      <formula>NOT(ISERROR(SEARCH("J",H26)))</formula>
    </cfRule>
  </conditionalFormatting>
  <pageMargins left="0.75" right="0.75" top="1" bottom="1" header="0.51180555555555596" footer="0.51180555555555596"/>
  <pageSetup paperSize="9"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opLeftCell="A10" workbookViewId="0">
      <selection activeCell="L29" sqref="L29"/>
    </sheetView>
  </sheetViews>
  <sheetFormatPr baseColWidth="10" defaultColWidth="9.140625" defaultRowHeight="15"/>
  <cols>
    <col min="1" max="1" width="3.5703125" style="2" customWidth="1"/>
    <col min="2" max="2" width="77.28515625" customWidth="1"/>
    <col min="3" max="3" width="12.140625" customWidth="1"/>
    <col min="5" max="5" width="11.140625" customWidth="1"/>
    <col min="6" max="6" width="12.28515625" customWidth="1"/>
    <col min="7" max="7" width="9" customWidth="1"/>
    <col min="8" max="8" width="8.7109375" style="3" customWidth="1"/>
    <col min="13" max="13" width="26" customWidth="1"/>
    <col min="14" max="14" width="23.42578125" customWidth="1"/>
    <col min="16" max="16" width="10.28515625" customWidth="1"/>
    <col min="17" max="17" width="20.7109375" customWidth="1"/>
  </cols>
  <sheetData>
    <row r="1" spans="1:17">
      <c r="A1" s="4" t="s">
        <v>19</v>
      </c>
      <c r="B1" s="5"/>
      <c r="C1" s="5"/>
    </row>
    <row r="2" spans="1:17">
      <c r="I2">
        <v>2018</v>
      </c>
    </row>
    <row r="3" spans="1:17" s="1" customFormat="1" ht="30">
      <c r="A3" s="6" t="s">
        <v>20</v>
      </c>
      <c r="B3" s="7" t="s">
        <v>21</v>
      </c>
      <c r="C3" s="7" t="s">
        <v>22</v>
      </c>
      <c r="D3" s="7" t="s">
        <v>23</v>
      </c>
      <c r="E3" s="7" t="s">
        <v>139</v>
      </c>
      <c r="F3" s="7" t="s">
        <v>25</v>
      </c>
      <c r="G3" s="7" t="s">
        <v>26</v>
      </c>
      <c r="H3" s="8" t="s">
        <v>64</v>
      </c>
      <c r="I3" s="7" t="s">
        <v>28</v>
      </c>
      <c r="J3" s="7" t="s">
        <v>29</v>
      </c>
      <c r="K3" s="7" t="s">
        <v>30</v>
      </c>
      <c r="L3" s="7" t="s">
        <v>31</v>
      </c>
      <c r="M3" s="7" t="s">
        <v>32</v>
      </c>
      <c r="N3" s="7" t="s">
        <v>33</v>
      </c>
      <c r="O3" s="7" t="s">
        <v>34</v>
      </c>
      <c r="P3" s="7" t="s">
        <v>35</v>
      </c>
      <c r="Q3" s="7" t="s">
        <v>36</v>
      </c>
    </row>
    <row r="4" spans="1:17" ht="45">
      <c r="A4" s="9" t="s">
        <v>37</v>
      </c>
      <c r="B4" s="10" t="s">
        <v>140</v>
      </c>
      <c r="C4" s="15">
        <v>0.9</v>
      </c>
      <c r="D4" s="15">
        <v>0.9</v>
      </c>
      <c r="E4" s="12">
        <f>+IFERROR(AVERAGE(I4:L4),"-")</f>
        <v>0.92</v>
      </c>
      <c r="F4" s="13" t="str">
        <f t="shared" ref="F4:F9" si="0">IF(E4="-","m",IF(E4&lt;D4,"L","J"))</f>
        <v>J</v>
      </c>
      <c r="G4" s="22">
        <v>20</v>
      </c>
      <c r="H4" s="14">
        <f>IFERROR(IF(E4="-","-",IF(E4&gt;D4,G4,G4*E4/D4)),"-")</f>
        <v>20</v>
      </c>
      <c r="I4" s="43">
        <v>1</v>
      </c>
      <c r="J4" s="43">
        <v>1</v>
      </c>
      <c r="K4" s="43">
        <v>1</v>
      </c>
      <c r="L4" s="43">
        <v>0.68</v>
      </c>
      <c r="M4" s="44" t="s">
        <v>141</v>
      </c>
      <c r="N4" s="44" t="s">
        <v>142</v>
      </c>
      <c r="O4" s="28" t="s">
        <v>143</v>
      </c>
      <c r="P4" s="45">
        <v>43258</v>
      </c>
      <c r="Q4" s="28"/>
    </row>
    <row r="5" spans="1:17" ht="22.5">
      <c r="A5" s="9" t="s">
        <v>39</v>
      </c>
      <c r="B5" s="10" t="s">
        <v>144</v>
      </c>
      <c r="C5" s="15">
        <v>1</v>
      </c>
      <c r="D5" s="15">
        <v>1</v>
      </c>
      <c r="E5" s="12">
        <f>+IFERROR(AVERAGE(I5:L5),"-")</f>
        <v>0.93</v>
      </c>
      <c r="F5" s="13" t="str">
        <f t="shared" si="0"/>
        <v>L</v>
      </c>
      <c r="G5" s="22">
        <v>20</v>
      </c>
      <c r="H5" s="14">
        <f>IFERROR(IF(E5="-","-",IF(E5&gt;D5,G5,G5*E5/D5)),"-")</f>
        <v>18.600000000000001</v>
      </c>
      <c r="I5" s="46" t="s">
        <v>41</v>
      </c>
      <c r="J5" s="47">
        <v>0.93</v>
      </c>
      <c r="K5" s="48"/>
      <c r="L5" s="48"/>
      <c r="N5" s="28"/>
      <c r="O5" s="28"/>
      <c r="P5" s="28"/>
      <c r="Q5" s="28"/>
    </row>
    <row r="6" spans="1:17" ht="45">
      <c r="A6" s="9" t="s">
        <v>46</v>
      </c>
      <c r="B6" s="10" t="s">
        <v>145</v>
      </c>
      <c r="C6" s="15">
        <v>0.95</v>
      </c>
      <c r="D6" s="15">
        <v>0.95</v>
      </c>
      <c r="E6" s="12">
        <f>+IFERROR(AVERAGE(I6:L6),"-")</f>
        <v>0.745</v>
      </c>
      <c r="F6" s="13" t="str">
        <f t="shared" si="0"/>
        <v>L</v>
      </c>
      <c r="G6" s="22">
        <v>20</v>
      </c>
      <c r="H6" s="14">
        <f>IFERROR(IF(E6="-","-",IF(E6&gt;D6,G6,G6*E6/D6)),"-")</f>
        <v>15.684210526315791</v>
      </c>
      <c r="I6" s="43">
        <v>0.5</v>
      </c>
      <c r="J6" s="43">
        <v>0.5</v>
      </c>
      <c r="K6" s="43">
        <v>1</v>
      </c>
      <c r="L6" s="43">
        <v>0.98</v>
      </c>
      <c r="M6" s="44" t="s">
        <v>146</v>
      </c>
      <c r="N6" s="35" t="s">
        <v>147</v>
      </c>
      <c r="O6" s="36" t="s">
        <v>143</v>
      </c>
      <c r="P6" s="45">
        <v>43241</v>
      </c>
      <c r="Q6" s="35" t="s">
        <v>148</v>
      </c>
    </row>
    <row r="7" spans="1:17" ht="45">
      <c r="A7" s="9" t="s">
        <v>50</v>
      </c>
      <c r="B7" s="10" t="s">
        <v>149</v>
      </c>
      <c r="C7" s="15">
        <v>0.95</v>
      </c>
      <c r="D7" s="15">
        <v>0.95</v>
      </c>
      <c r="E7" s="12" t="str">
        <f>+IFERROR(AVERAGE(I7:L7),"-")</f>
        <v>-</v>
      </c>
      <c r="F7" s="13" t="str">
        <f t="shared" si="0"/>
        <v>m</v>
      </c>
      <c r="G7" s="22">
        <v>20</v>
      </c>
      <c r="H7" s="14" t="str">
        <f>IFERROR(IF(E7="-","-",IF(E7&gt;D7,G7,G7*E7/D7)),"-")</f>
        <v>-</v>
      </c>
      <c r="I7" s="46" t="s">
        <v>41</v>
      </c>
      <c r="J7" s="46" t="s">
        <v>41</v>
      </c>
      <c r="K7" s="46" t="s">
        <v>41</v>
      </c>
      <c r="L7" s="46"/>
      <c r="M7" s="44" t="s">
        <v>150</v>
      </c>
      <c r="N7" s="31"/>
      <c r="O7" s="36" t="s">
        <v>143</v>
      </c>
      <c r="P7" s="45">
        <v>43234</v>
      </c>
      <c r="Q7" s="16"/>
    </row>
    <row r="8" spans="1:17" ht="45">
      <c r="A8" s="9" t="s">
        <v>55</v>
      </c>
      <c r="B8" s="10" t="s">
        <v>151</v>
      </c>
      <c r="C8" s="15">
        <v>0.9</v>
      </c>
      <c r="D8" s="15">
        <v>0.9</v>
      </c>
      <c r="E8" s="12">
        <f>+IFERROR(AVERAGE(I8:L8),"-")</f>
        <v>0.71</v>
      </c>
      <c r="F8" s="13" t="str">
        <f t="shared" si="0"/>
        <v>L</v>
      </c>
      <c r="G8" s="22">
        <v>20</v>
      </c>
      <c r="H8" s="14">
        <f>IFERROR(IF(E8="-","-",IF(E8&gt;D8,G8,G8*E8/D8)),"-")</f>
        <v>15.777777777777777</v>
      </c>
      <c r="I8" s="46" t="s">
        <v>41</v>
      </c>
      <c r="J8" s="46" t="s">
        <v>41</v>
      </c>
      <c r="K8" s="43">
        <v>0.75</v>
      </c>
      <c r="L8" s="43">
        <v>0.67</v>
      </c>
      <c r="M8" s="44" t="s">
        <v>152</v>
      </c>
      <c r="N8" s="35" t="s">
        <v>153</v>
      </c>
      <c r="O8" s="36" t="s">
        <v>143</v>
      </c>
      <c r="P8" s="45">
        <v>43258</v>
      </c>
      <c r="Q8" s="16"/>
    </row>
    <row r="9" spans="1:17" ht="22.5">
      <c r="B9" s="17" t="s">
        <v>62</v>
      </c>
      <c r="C9" s="18">
        <v>1</v>
      </c>
      <c r="D9" s="18">
        <v>0.25</v>
      </c>
      <c r="E9" s="19">
        <f>IFERROR(H9/G9,"-")</f>
        <v>0.70061988304093559</v>
      </c>
      <c r="F9" s="13" t="str">
        <f t="shared" si="0"/>
        <v>J</v>
      </c>
      <c r="G9" s="11">
        <f>SUM(G4:G8)</f>
        <v>100</v>
      </c>
      <c r="H9" s="14">
        <f>SUM(H4:H8)</f>
        <v>70.06198830409356</v>
      </c>
    </row>
    <row r="10" spans="1:17">
      <c r="E10" s="20"/>
    </row>
    <row r="11" spans="1:17">
      <c r="A11" s="4" t="s">
        <v>63</v>
      </c>
      <c r="B11" s="5"/>
      <c r="C11" s="5"/>
      <c r="F11" s="20"/>
    </row>
    <row r="13" spans="1:17" ht="30">
      <c r="A13" s="6" t="s">
        <v>20</v>
      </c>
      <c r="B13" s="7" t="s">
        <v>21</v>
      </c>
      <c r="C13" s="7" t="s">
        <v>22</v>
      </c>
      <c r="D13" s="7" t="s">
        <v>23</v>
      </c>
      <c r="E13" s="7" t="s">
        <v>24</v>
      </c>
      <c r="F13" s="7" t="s">
        <v>25</v>
      </c>
      <c r="G13" s="7" t="s">
        <v>26</v>
      </c>
      <c r="H13" s="8" t="s">
        <v>64</v>
      </c>
      <c r="I13" s="7" t="s">
        <v>28</v>
      </c>
      <c r="J13" s="7" t="s">
        <v>29</v>
      </c>
      <c r="K13" s="7" t="s">
        <v>30</v>
      </c>
      <c r="L13" s="7" t="s">
        <v>31</v>
      </c>
      <c r="M13" s="7" t="s">
        <v>32</v>
      </c>
      <c r="N13" s="7" t="s">
        <v>33</v>
      </c>
      <c r="O13" s="7" t="s">
        <v>34</v>
      </c>
      <c r="P13" s="7" t="s">
        <v>35</v>
      </c>
      <c r="Q13" s="7" t="s">
        <v>36</v>
      </c>
    </row>
    <row r="14" spans="1:17" ht="22.5">
      <c r="A14" s="9" t="s">
        <v>37</v>
      </c>
      <c r="B14" s="10" t="s">
        <v>65</v>
      </c>
      <c r="C14" s="21">
        <f>3*20*12</f>
        <v>720</v>
      </c>
      <c r="D14" s="21">
        <f>3*20*4</f>
        <v>240</v>
      </c>
      <c r="E14" s="16">
        <f>SUM(I14:L14)</f>
        <v>56</v>
      </c>
      <c r="F14" s="13" t="str">
        <f t="shared" ref="F14:F21" si="1">IF(E14="-","m",IF(E14&lt;D14,"L","J"))</f>
        <v>L</v>
      </c>
      <c r="G14" s="22">
        <v>20</v>
      </c>
      <c r="H14" s="14">
        <f t="shared" ref="H14:H20" si="2">IFERROR(IF(E14="-","-",IF(E14&gt;D14,G14,G14*E14/D14)),"-")</f>
        <v>4.666666666666667</v>
      </c>
      <c r="I14" s="11">
        <v>7</v>
      </c>
      <c r="J14" s="11">
        <v>7</v>
      </c>
      <c r="K14" s="11">
        <v>33</v>
      </c>
      <c r="L14" s="11">
        <v>9</v>
      </c>
      <c r="M14" s="28"/>
      <c r="N14" s="28"/>
      <c r="O14" s="28"/>
      <c r="P14" s="28"/>
      <c r="Q14" s="28"/>
    </row>
    <row r="15" spans="1:17" ht="22.5">
      <c r="A15" s="9" t="s">
        <v>39</v>
      </c>
      <c r="B15" s="23" t="s">
        <v>66</v>
      </c>
      <c r="C15" s="21"/>
      <c r="D15" s="21"/>
      <c r="E15" s="16"/>
      <c r="F15" s="13"/>
      <c r="G15" s="22"/>
      <c r="H15" s="14"/>
      <c r="I15" s="11"/>
      <c r="J15" s="11"/>
      <c r="K15" s="11"/>
      <c r="L15" s="11">
        <v>9</v>
      </c>
      <c r="M15" s="28"/>
      <c r="N15" s="28"/>
      <c r="O15" s="28"/>
      <c r="P15" s="28"/>
      <c r="Q15" s="28"/>
    </row>
    <row r="16" spans="1:17" ht="22.5">
      <c r="A16" s="9" t="s">
        <v>46</v>
      </c>
      <c r="B16" s="10" t="s">
        <v>67</v>
      </c>
      <c r="C16" s="21">
        <f>C14*90/100</f>
        <v>648</v>
      </c>
      <c r="D16" s="21">
        <f>D14*90/100</f>
        <v>216</v>
      </c>
      <c r="E16" s="16">
        <f>SUM(I16:L16)</f>
        <v>22</v>
      </c>
      <c r="F16" s="13" t="str">
        <f t="shared" si="1"/>
        <v>L</v>
      </c>
      <c r="G16" s="22">
        <v>20</v>
      </c>
      <c r="H16" s="14">
        <f t="shared" si="2"/>
        <v>2.0370370370370372</v>
      </c>
      <c r="I16" s="11">
        <v>6</v>
      </c>
      <c r="J16" s="11">
        <v>2</v>
      </c>
      <c r="K16" s="11">
        <v>8</v>
      </c>
      <c r="L16" s="11">
        <v>6</v>
      </c>
      <c r="M16" s="28"/>
      <c r="N16" s="28"/>
      <c r="O16" s="28"/>
      <c r="P16" s="28"/>
      <c r="Q16" s="28"/>
    </row>
    <row r="17" spans="1:17" ht="22.5">
      <c r="A17" s="9" t="s">
        <v>50</v>
      </c>
      <c r="B17" s="10" t="s">
        <v>68</v>
      </c>
      <c r="C17" s="21">
        <f>C16*90/100</f>
        <v>583.20000000000005</v>
      </c>
      <c r="D17" s="21">
        <f>D16*90/100</f>
        <v>194.4</v>
      </c>
      <c r="E17" s="24">
        <f>SUM(I17:L17)</f>
        <v>14</v>
      </c>
      <c r="F17" s="13" t="str">
        <f t="shared" si="1"/>
        <v>L</v>
      </c>
      <c r="G17" s="22">
        <v>20</v>
      </c>
      <c r="H17" s="14">
        <f t="shared" si="2"/>
        <v>1.4403292181069958</v>
      </c>
      <c r="I17" s="34">
        <v>6</v>
      </c>
      <c r="J17" s="11">
        <v>2</v>
      </c>
      <c r="K17" s="11">
        <v>2</v>
      </c>
      <c r="L17" s="11">
        <v>4</v>
      </c>
      <c r="M17" s="28"/>
      <c r="N17" s="28"/>
      <c r="O17" s="28"/>
      <c r="P17" s="28"/>
      <c r="Q17" s="28"/>
    </row>
    <row r="18" spans="1:17" ht="22.5">
      <c r="A18" s="9" t="s">
        <v>55</v>
      </c>
      <c r="B18" s="23" t="s">
        <v>69</v>
      </c>
      <c r="C18" s="21"/>
      <c r="D18" s="21"/>
      <c r="E18" s="24"/>
      <c r="F18" s="13"/>
      <c r="G18" s="22"/>
      <c r="H18" s="14"/>
      <c r="I18" s="34"/>
      <c r="J18" s="11"/>
      <c r="K18" s="11"/>
      <c r="L18" s="11">
        <v>3</v>
      </c>
      <c r="M18" s="28"/>
      <c r="N18" s="28"/>
      <c r="O18" s="28"/>
      <c r="P18" s="28"/>
      <c r="Q18" s="28"/>
    </row>
    <row r="19" spans="1:17" ht="22.5">
      <c r="A19" s="9" t="s">
        <v>58</v>
      </c>
      <c r="B19" s="25" t="s">
        <v>70</v>
      </c>
      <c r="C19" s="15">
        <v>0.02</v>
      </c>
      <c r="D19" s="15">
        <v>0.02</v>
      </c>
      <c r="E19" s="12">
        <f>IFERROR(AVERAGE(I19:L19),"-")</f>
        <v>8.3333333333333329E-2</v>
      </c>
      <c r="F19" s="13" t="str">
        <f>IF(E19="-","m",IF(E19&lt;D19,"J","L"))</f>
        <v>L</v>
      </c>
      <c r="G19" s="22">
        <v>20</v>
      </c>
      <c r="H19" s="14">
        <f t="shared" si="2"/>
        <v>20</v>
      </c>
      <c r="I19" s="15">
        <v>0</v>
      </c>
      <c r="J19" s="15">
        <v>0</v>
      </c>
      <c r="K19" s="15">
        <v>0</v>
      </c>
      <c r="L19" s="15">
        <f>L18/L15</f>
        <v>0.33333333333333331</v>
      </c>
      <c r="M19" s="28"/>
      <c r="N19" s="28"/>
      <c r="O19" s="28"/>
      <c r="P19" s="28"/>
      <c r="Q19" s="28"/>
    </row>
    <row r="20" spans="1:17" ht="22.5">
      <c r="A20" s="9" t="s">
        <v>71</v>
      </c>
      <c r="B20" s="25" t="s">
        <v>72</v>
      </c>
      <c r="C20" s="18">
        <v>0.98</v>
      </c>
      <c r="D20" s="18">
        <v>0.98</v>
      </c>
      <c r="E20" s="12">
        <f>IFERROR(AVERAGE(I20:L20),"-")</f>
        <v>0.75</v>
      </c>
      <c r="F20" s="13" t="str">
        <f t="shared" si="1"/>
        <v>L</v>
      </c>
      <c r="G20" s="22">
        <v>20</v>
      </c>
      <c r="H20" s="14">
        <f t="shared" si="2"/>
        <v>15.306122448979592</v>
      </c>
      <c r="I20" s="18">
        <v>1</v>
      </c>
      <c r="J20" s="18">
        <v>1</v>
      </c>
      <c r="K20" s="18">
        <v>0</v>
      </c>
      <c r="L20" s="18">
        <v>1</v>
      </c>
      <c r="M20" s="28"/>
      <c r="N20" s="28"/>
      <c r="O20" s="28"/>
      <c r="P20" s="28"/>
      <c r="Q20" s="28"/>
    </row>
    <row r="21" spans="1:17" ht="22.5">
      <c r="B21" s="17" t="s">
        <v>73</v>
      </c>
      <c r="C21" s="18">
        <v>1</v>
      </c>
      <c r="D21" s="18">
        <v>1</v>
      </c>
      <c r="E21" s="19">
        <f>H21/G21</f>
        <v>0.43450155370790289</v>
      </c>
      <c r="F21" s="13" t="str">
        <f t="shared" si="1"/>
        <v>L</v>
      </c>
      <c r="G21" s="11">
        <f>SUM(G13:G20)</f>
        <v>100</v>
      </c>
      <c r="H21" s="14">
        <f>SUM(H13:H20)</f>
        <v>43.450155370790291</v>
      </c>
    </row>
    <row r="23" spans="1:17">
      <c r="A23" s="4" t="s">
        <v>109</v>
      </c>
      <c r="B23" s="5"/>
      <c r="C23" s="5"/>
      <c r="F23" s="20"/>
    </row>
    <row r="25" spans="1:17" ht="30">
      <c r="A25" s="6" t="s">
        <v>20</v>
      </c>
      <c r="B25" s="7" t="s">
        <v>21</v>
      </c>
      <c r="C25" s="7" t="s">
        <v>22</v>
      </c>
      <c r="D25" s="7" t="s">
        <v>102</v>
      </c>
      <c r="E25" s="7" t="s">
        <v>103</v>
      </c>
      <c r="F25" s="7" t="s">
        <v>25</v>
      </c>
      <c r="G25" s="7" t="s">
        <v>26</v>
      </c>
      <c r="H25" s="8" t="s">
        <v>27</v>
      </c>
      <c r="I25" s="7" t="s">
        <v>28</v>
      </c>
      <c r="J25" s="7" t="s">
        <v>29</v>
      </c>
      <c r="K25" s="7" t="s">
        <v>30</v>
      </c>
      <c r="L25" s="7" t="s">
        <v>31</v>
      </c>
      <c r="M25" s="7" t="s">
        <v>32</v>
      </c>
      <c r="N25" s="7" t="s">
        <v>33</v>
      </c>
      <c r="O25" s="7" t="s">
        <v>34</v>
      </c>
      <c r="P25" s="7" t="s">
        <v>35</v>
      </c>
      <c r="Q25" s="7" t="s">
        <v>36</v>
      </c>
    </row>
    <row r="26" spans="1:17" ht="22.5">
      <c r="A26" s="9" t="s">
        <v>37</v>
      </c>
      <c r="B26" s="26" t="s">
        <v>110</v>
      </c>
      <c r="C26" s="27">
        <v>1</v>
      </c>
      <c r="D26" s="27">
        <v>1</v>
      </c>
      <c r="E26" s="12">
        <f t="shared" ref="E26:E34" si="3">IFERROR(AVERAGE(I26:K26),"-")</f>
        <v>1</v>
      </c>
      <c r="F26" s="13" t="str">
        <f t="shared" ref="F26:F35" si="4">IF(E26="-","m",IF(E26&lt;D26,"L","J"))</f>
        <v>J</v>
      </c>
      <c r="G26" s="22">
        <v>20</v>
      </c>
      <c r="H26" s="14">
        <f t="shared" ref="H26:H34" si="5">IF(E26="-","-",IF(E26&gt;D26,G26,G26*E26/D26))</f>
        <v>20</v>
      </c>
      <c r="I26" s="15" t="s">
        <v>41</v>
      </c>
      <c r="J26" s="15">
        <v>1</v>
      </c>
      <c r="K26" s="15">
        <v>1</v>
      </c>
      <c r="L26" s="15">
        <v>1</v>
      </c>
      <c r="M26" s="117" t="s">
        <v>180</v>
      </c>
      <c r="N26" s="28"/>
      <c r="O26" s="28"/>
      <c r="P26" s="28"/>
      <c r="Q26" s="28"/>
    </row>
    <row r="27" spans="1:17" ht="22.5">
      <c r="A27" s="9" t="s">
        <v>39</v>
      </c>
      <c r="B27" s="26" t="s">
        <v>111</v>
      </c>
      <c r="C27" s="27">
        <v>1</v>
      </c>
      <c r="D27" s="27">
        <v>1</v>
      </c>
      <c r="E27" s="12">
        <f t="shared" si="3"/>
        <v>1</v>
      </c>
      <c r="F27" s="13" t="str">
        <f t="shared" si="4"/>
        <v>J</v>
      </c>
      <c r="G27" s="22">
        <v>10</v>
      </c>
      <c r="H27" s="14">
        <f t="shared" si="5"/>
        <v>10</v>
      </c>
      <c r="I27" s="15" t="s">
        <v>41</v>
      </c>
      <c r="J27" s="15">
        <v>1</v>
      </c>
      <c r="K27" s="15" t="s">
        <v>41</v>
      </c>
      <c r="L27" s="15">
        <v>1</v>
      </c>
      <c r="M27" s="15"/>
      <c r="N27" s="28"/>
      <c r="O27" s="28"/>
      <c r="P27" s="28"/>
      <c r="Q27" s="28"/>
    </row>
    <row r="28" spans="1:17" ht="22.5">
      <c r="A28" s="9" t="s">
        <v>46</v>
      </c>
      <c r="B28" s="26" t="s">
        <v>112</v>
      </c>
      <c r="C28" s="27">
        <v>1</v>
      </c>
      <c r="D28" s="27">
        <v>1</v>
      </c>
      <c r="E28" s="12" t="str">
        <f t="shared" si="3"/>
        <v>-</v>
      </c>
      <c r="F28" s="13" t="str">
        <f t="shared" si="4"/>
        <v>m</v>
      </c>
      <c r="G28" s="22">
        <v>10</v>
      </c>
      <c r="H28" s="14" t="str">
        <f t="shared" si="5"/>
        <v>-</v>
      </c>
      <c r="I28" s="15" t="s">
        <v>41</v>
      </c>
      <c r="J28" s="15" t="s">
        <v>41</v>
      </c>
      <c r="K28" s="15" t="s">
        <v>41</v>
      </c>
      <c r="L28" s="15" t="s">
        <v>41</v>
      </c>
      <c r="M28" s="15"/>
      <c r="N28" s="28"/>
      <c r="O28" s="28"/>
      <c r="P28" s="28"/>
      <c r="Q28" s="28"/>
    </row>
    <row r="29" spans="1:17" ht="22.5">
      <c r="A29" s="9" t="s">
        <v>50</v>
      </c>
      <c r="B29" s="26" t="s">
        <v>113</v>
      </c>
      <c r="C29" s="27">
        <v>1</v>
      </c>
      <c r="D29" s="27">
        <v>1</v>
      </c>
      <c r="E29" s="12" t="str">
        <f t="shared" si="3"/>
        <v>-</v>
      </c>
      <c r="F29" s="13" t="str">
        <f t="shared" si="4"/>
        <v>m</v>
      </c>
      <c r="G29" s="22">
        <v>10</v>
      </c>
      <c r="H29" s="14" t="str">
        <f t="shared" si="5"/>
        <v>-</v>
      </c>
      <c r="I29" s="15" t="s">
        <v>41</v>
      </c>
      <c r="J29" s="11" t="s">
        <v>41</v>
      </c>
      <c r="K29" s="11" t="s">
        <v>41</v>
      </c>
      <c r="L29" s="18">
        <v>0.25</v>
      </c>
      <c r="M29" s="117" t="s">
        <v>179</v>
      </c>
      <c r="N29" s="28"/>
      <c r="O29" s="28"/>
      <c r="P29" s="28"/>
      <c r="Q29" s="28"/>
    </row>
    <row r="30" spans="1:17" ht="22.5">
      <c r="A30" s="9" t="s">
        <v>55</v>
      </c>
      <c r="B30" s="26" t="s">
        <v>114</v>
      </c>
      <c r="C30" s="27">
        <v>1</v>
      </c>
      <c r="D30" s="27">
        <v>1</v>
      </c>
      <c r="E30" s="12">
        <f t="shared" si="3"/>
        <v>1</v>
      </c>
      <c r="F30" s="13" t="str">
        <f t="shared" si="4"/>
        <v>J</v>
      </c>
      <c r="G30" s="22">
        <v>10</v>
      </c>
      <c r="H30" s="14">
        <f t="shared" si="5"/>
        <v>10</v>
      </c>
      <c r="I30" s="15" t="s">
        <v>41</v>
      </c>
      <c r="J30" s="18">
        <v>1</v>
      </c>
      <c r="K30" s="18">
        <v>1</v>
      </c>
      <c r="L30" s="118">
        <v>0.75</v>
      </c>
      <c r="M30" s="117" t="s">
        <v>183</v>
      </c>
      <c r="N30" s="28"/>
      <c r="O30" s="28"/>
      <c r="P30" s="28"/>
      <c r="Q30" s="28"/>
    </row>
    <row r="31" spans="1:17" ht="22.5">
      <c r="A31" s="9" t="s">
        <v>58</v>
      </c>
      <c r="B31" s="28" t="s">
        <v>115</v>
      </c>
      <c r="C31" s="27">
        <v>1</v>
      </c>
      <c r="D31" s="27">
        <v>1</v>
      </c>
      <c r="E31" s="12">
        <f t="shared" si="3"/>
        <v>1</v>
      </c>
      <c r="F31" s="13" t="str">
        <f t="shared" si="4"/>
        <v>J</v>
      </c>
      <c r="G31" s="22">
        <v>10</v>
      </c>
      <c r="H31" s="14">
        <f t="shared" si="5"/>
        <v>10</v>
      </c>
      <c r="I31" s="15" t="s">
        <v>41</v>
      </c>
      <c r="J31" s="11" t="s">
        <v>41</v>
      </c>
      <c r="K31" s="18">
        <v>1</v>
      </c>
      <c r="L31" s="42" t="s">
        <v>41</v>
      </c>
      <c r="M31" s="28"/>
      <c r="N31" s="28"/>
      <c r="O31" s="28"/>
      <c r="P31" s="28"/>
      <c r="Q31" s="28"/>
    </row>
    <row r="32" spans="1:17" ht="22.5">
      <c r="A32" s="9" t="s">
        <v>71</v>
      </c>
      <c r="B32" s="28" t="s">
        <v>116</v>
      </c>
      <c r="C32" s="27">
        <v>1</v>
      </c>
      <c r="D32" s="27">
        <v>1</v>
      </c>
      <c r="E32" s="12">
        <f t="shared" si="3"/>
        <v>0.98</v>
      </c>
      <c r="F32" s="13" t="str">
        <f t="shared" si="4"/>
        <v>L</v>
      </c>
      <c r="G32" s="22">
        <v>10</v>
      </c>
      <c r="H32" s="14">
        <f t="shared" si="5"/>
        <v>9.8000000000000007</v>
      </c>
      <c r="I32" s="15" t="s">
        <v>41</v>
      </c>
      <c r="J32" s="18">
        <v>0.96</v>
      </c>
      <c r="K32" s="18">
        <v>1</v>
      </c>
      <c r="L32" s="42" t="s">
        <v>41</v>
      </c>
      <c r="M32" s="35"/>
      <c r="N32" s="28"/>
      <c r="O32" s="28"/>
      <c r="P32" s="28"/>
      <c r="Q32" s="28"/>
    </row>
    <row r="33" spans="1:17" ht="22.5">
      <c r="A33" s="9" t="s">
        <v>117</v>
      </c>
      <c r="B33" s="28" t="s">
        <v>118</v>
      </c>
      <c r="C33" s="27">
        <v>1</v>
      </c>
      <c r="D33" s="27">
        <v>1</v>
      </c>
      <c r="E33" s="12" t="str">
        <f t="shared" si="3"/>
        <v>-</v>
      </c>
      <c r="F33" s="13" t="str">
        <f t="shared" si="4"/>
        <v>m</v>
      </c>
      <c r="G33" s="22">
        <v>10</v>
      </c>
      <c r="H33" s="14" t="str">
        <f t="shared" si="5"/>
        <v>-</v>
      </c>
      <c r="I33" s="15" t="s">
        <v>41</v>
      </c>
      <c r="J33" s="11" t="s">
        <v>41</v>
      </c>
      <c r="K33" s="11" t="s">
        <v>41</v>
      </c>
      <c r="L33" s="15">
        <v>1</v>
      </c>
      <c r="M33" s="11"/>
      <c r="N33" s="28"/>
      <c r="O33" s="28"/>
      <c r="P33" s="28"/>
      <c r="Q33" s="28"/>
    </row>
    <row r="34" spans="1:17" ht="22.5">
      <c r="A34" s="9" t="s">
        <v>119</v>
      </c>
      <c r="B34" s="28" t="s">
        <v>120</v>
      </c>
      <c r="C34" s="27">
        <v>1</v>
      </c>
      <c r="D34" s="27">
        <v>1</v>
      </c>
      <c r="E34" s="12">
        <f t="shared" si="3"/>
        <v>1</v>
      </c>
      <c r="F34" s="13" t="str">
        <f t="shared" si="4"/>
        <v>J</v>
      </c>
      <c r="G34" s="22">
        <v>10</v>
      </c>
      <c r="H34" s="14">
        <f t="shared" si="5"/>
        <v>10</v>
      </c>
      <c r="I34" s="15" t="s">
        <v>41</v>
      </c>
      <c r="J34" s="18">
        <v>1</v>
      </c>
      <c r="K34" s="11" t="s">
        <v>41</v>
      </c>
      <c r="L34" s="11"/>
      <c r="M34" s="11"/>
      <c r="N34" s="28"/>
      <c r="O34" s="28"/>
      <c r="P34" s="28"/>
      <c r="Q34" s="28"/>
    </row>
    <row r="35" spans="1:17" ht="22.5">
      <c r="B35" s="17" t="s">
        <v>73</v>
      </c>
      <c r="C35" s="18">
        <v>1</v>
      </c>
      <c r="D35" s="18">
        <v>1</v>
      </c>
      <c r="E35" s="19">
        <f>H35/G35</f>
        <v>0.99714285714285711</v>
      </c>
      <c r="F35" s="13" t="str">
        <f t="shared" si="4"/>
        <v>L</v>
      </c>
      <c r="G35" s="16">
        <f>SUMIF(H26:H34,"&gt;0",G26:G34)</f>
        <v>70</v>
      </c>
      <c r="H35" s="16">
        <f>+SUM(H26:H34)</f>
        <v>69.8</v>
      </c>
    </row>
  </sheetData>
  <conditionalFormatting sqref="F19">
    <cfRule type="containsText" dxfId="62" priority="7" operator="containsText" text="l">
      <formula>NOT(ISERROR(SEARCH("l",F19)))</formula>
    </cfRule>
    <cfRule type="containsText" dxfId="61" priority="8" operator="containsText" text="L">
      <formula>NOT(ISERROR(SEARCH("L",F19)))</formula>
    </cfRule>
    <cfRule type="containsText" dxfId="60" priority="9" operator="containsText" text="J">
      <formula>NOT(ISERROR(SEARCH("J",F19)))</formula>
    </cfRule>
  </conditionalFormatting>
  <conditionalFormatting sqref="F4:F9">
    <cfRule type="containsText" dxfId="59" priority="15" operator="containsText" text="l">
      <formula>NOT(ISERROR(SEARCH("l",F4)))</formula>
    </cfRule>
    <cfRule type="containsText" dxfId="58" priority="16" operator="containsText" text="L">
      <formula>NOT(ISERROR(SEARCH("L",F4)))</formula>
    </cfRule>
    <cfRule type="containsText" dxfId="57" priority="17" operator="containsText" text="J">
      <formula>NOT(ISERROR(SEARCH("J",F4)))</formula>
    </cfRule>
  </conditionalFormatting>
  <conditionalFormatting sqref="F14:F18">
    <cfRule type="containsText" dxfId="56" priority="4" operator="containsText" text="l">
      <formula>NOT(ISERROR(SEARCH("l",F14)))</formula>
    </cfRule>
    <cfRule type="containsText" dxfId="55" priority="5" operator="containsText" text="L">
      <formula>NOT(ISERROR(SEARCH("L",F14)))</formula>
    </cfRule>
    <cfRule type="containsText" dxfId="54" priority="6" operator="containsText" text="J">
      <formula>NOT(ISERROR(SEARCH("J",F14)))</formula>
    </cfRule>
  </conditionalFormatting>
  <conditionalFormatting sqref="F20:F21">
    <cfRule type="containsText" dxfId="53" priority="1" operator="containsText" text="l">
      <formula>NOT(ISERROR(SEARCH("l",F20)))</formula>
    </cfRule>
    <cfRule type="containsText" dxfId="52" priority="2" operator="containsText" text="L">
      <formula>NOT(ISERROR(SEARCH("L",F20)))</formula>
    </cfRule>
    <cfRule type="containsText" dxfId="51" priority="3" operator="containsText" text="J">
      <formula>NOT(ISERROR(SEARCH("J",F20)))</formula>
    </cfRule>
  </conditionalFormatting>
  <conditionalFormatting sqref="F26:F35">
    <cfRule type="containsText" dxfId="50" priority="12" operator="containsText" text="l">
      <formula>NOT(ISERROR(SEARCH("l",F26)))</formula>
    </cfRule>
    <cfRule type="containsText" dxfId="49" priority="13" operator="containsText" text="L">
      <formula>NOT(ISERROR(SEARCH("L",F26)))</formula>
    </cfRule>
    <cfRule type="containsText" dxfId="48" priority="14" operator="containsText" text="J">
      <formula>NOT(ISERROR(SEARCH("J",F26)))</formula>
    </cfRule>
  </conditionalFormatting>
  <conditionalFormatting sqref="H4:H9">
    <cfRule type="containsText" dxfId="47" priority="20" operator="containsText" text="L">
      <formula>NOT(ISERROR(SEARCH("L",H4)))</formula>
    </cfRule>
    <cfRule type="containsText" dxfId="46" priority="21" operator="containsText" text="J">
      <formula>NOT(ISERROR(SEARCH("J",H4)))</formula>
    </cfRule>
  </conditionalFormatting>
  <conditionalFormatting sqref="H14:H20">
    <cfRule type="containsText" dxfId="45" priority="10" operator="containsText" text="L">
      <formula>NOT(ISERROR(SEARCH("L",H14)))</formula>
    </cfRule>
    <cfRule type="containsText" dxfId="44" priority="11" operator="containsText" text="J">
      <formula>NOT(ISERROR(SEARCH("J",H14)))</formula>
    </cfRule>
  </conditionalFormatting>
  <conditionalFormatting sqref="H26:H34">
    <cfRule type="containsText" dxfId="43" priority="18" operator="containsText" text="L">
      <formula>NOT(ISERROR(SEARCH("L",H26)))</formula>
    </cfRule>
    <cfRule type="containsText" dxfId="42" priority="19" operator="containsText" text="J">
      <formula>NOT(ISERROR(SEARCH("J",H26)))</formula>
    </cfRule>
  </conditionalFormatting>
  <pageMargins left="0.75" right="0.75" top="1" bottom="1" header="0.51180555555555596" footer="0.51180555555555596"/>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Objectif</vt:lpstr>
      <vt:lpstr>Suivi activité</vt:lpstr>
      <vt:lpstr>Application du Lean</vt:lpstr>
      <vt:lpstr>M&amp;Q</vt:lpstr>
      <vt:lpstr>PROD</vt:lpstr>
      <vt:lpstr>ETUDES</vt:lpstr>
      <vt:lpstr>DEV</vt:lpstr>
      <vt:lpstr>DSI</vt:lpstr>
      <vt:lpstr>RH</vt:lpstr>
      <vt:lpstr>ADMIN</vt:lpstr>
      <vt:lpstr>SG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Lalaina Andrianantoandro</cp:lastModifiedBy>
  <dcterms:created xsi:type="dcterms:W3CDTF">2018-04-22T14:18:00Z</dcterms:created>
  <dcterms:modified xsi:type="dcterms:W3CDTF">2018-05-15T13:52:44Z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1036-10.2.0.6020</vt:lpwstr>
  </property>
</Properties>
</file>