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0889\Desktop\stevenbaxontwerpt\website\tools\static\tools\files\"/>
    </mc:Choice>
  </mc:AlternateContent>
  <xr:revisionPtr revIDLastSave="0" documentId="13_ncr:1_{1826D47F-5BD9-4319-9488-EFB4DF259B42}" xr6:coauthVersionLast="47" xr6:coauthVersionMax="47" xr10:uidLastSave="{00000000-0000-0000-0000-000000000000}"/>
  <bookViews>
    <workbookView xWindow="-28920" yWindow="-120" windowWidth="29040" windowHeight="15720" xr2:uid="{8847EBB2-8FE0-45D5-84B6-F2668849CAE1}"/>
  </bookViews>
  <sheets>
    <sheet name="Blad1" sheetId="1" r:id="rId1"/>
  </sheets>
  <externalReferences>
    <externalReference r:id="rId2"/>
  </externalReferences>
  <definedNames>
    <definedName name="buis_binnendiameter">'[1]Data buis'!$F$70</definedName>
    <definedName name="buis_inwendige_wandruwheid">'[1]Data buis'!$T$70</definedName>
    <definedName name="medium_Reynolds">Blad1!$L$6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E29" i="1" a="1"/>
  <c r="E29" i="1" s="1"/>
  <c r="E28" i="1"/>
  <c r="E38" i="1"/>
  <c r="E39" i="1"/>
  <c r="E40" i="1"/>
  <c r="E41" i="1"/>
  <c r="E42" i="1"/>
  <c r="E43" i="1"/>
  <c r="E44" i="1"/>
  <c r="E45" i="1"/>
  <c r="E34" i="1"/>
  <c r="E35" i="1"/>
  <c r="E36" i="1"/>
  <c r="E37" i="1"/>
  <c r="C28" i="1"/>
  <c r="C29" i="1" a="1"/>
  <c r="C29" i="1" s="1"/>
  <c r="D29" i="1" a="1"/>
  <c r="D29" i="1" s="1"/>
  <c r="D28" i="1"/>
  <c r="L9" i="1"/>
  <c r="G29" i="1" l="1" a="1"/>
  <c r="G29" i="1" s="1"/>
  <c r="H21" i="1" s="1"/>
  <c r="H23" i="1" s="1"/>
  <c r="G28" i="1" a="1"/>
  <c r="G28" i="1" s="1"/>
  <c r="H20" i="1" s="1"/>
  <c r="L10" i="1"/>
  <c r="H24" i="1" l="1"/>
  <c r="L11" i="1"/>
  <c r="L18" i="1" l="1"/>
  <c r="L17" i="1" s="1"/>
  <c r="L16" i="1" s="1"/>
  <c r="L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<sst xmlns="http://schemas.openxmlformats.org/spreadsheetml/2006/main" count="57" uniqueCount="51">
  <si>
    <t xml:space="preserve">Input </t>
  </si>
  <si>
    <t>bar</t>
  </si>
  <si>
    <t>invoer</t>
  </si>
  <si>
    <t>uitvoer</t>
  </si>
  <si>
    <t xml:space="preserve">TOOL W3 Flow calculator  </t>
  </si>
  <si>
    <t>Inner Diameter [mm]</t>
  </si>
  <si>
    <t>Flow velocity [m/s]</t>
  </si>
  <si>
    <t>Flow Rate</t>
  </si>
  <si>
    <t>l/min</t>
  </si>
  <si>
    <t>m3/h</t>
  </si>
  <si>
    <t>l/s</t>
  </si>
  <si>
    <t>Pipe length [m]</t>
  </si>
  <si>
    <t>Pressure Loss</t>
  </si>
  <si>
    <t>kPa</t>
  </si>
  <si>
    <t>Re</t>
  </si>
  <si>
    <t>kg/m3</t>
  </si>
  <si>
    <t>ρ water</t>
  </si>
  <si>
    <r>
      <rPr>
        <sz val="11"/>
        <color theme="1"/>
        <rFont val="Aptos Narrow"/>
        <family val="2"/>
      </rPr>
      <t>ν</t>
    </r>
    <r>
      <rPr>
        <sz val="8.6"/>
        <color theme="1"/>
        <rFont val="Aptos Narrow"/>
        <family val="2"/>
      </rPr>
      <t xml:space="preserve"> water </t>
    </r>
  </si>
  <si>
    <t>m2/s</t>
  </si>
  <si>
    <t>ε</t>
  </si>
  <si>
    <t>Kinematische viscositeit</t>
  </si>
  <si>
    <t>λ</t>
  </si>
  <si>
    <t xml:space="preserve">Dichtheid water </t>
  </si>
  <si>
    <t>mm</t>
  </si>
  <si>
    <t>Pa</t>
  </si>
  <si>
    <t>ρ [kg/m3]</t>
  </si>
  <si>
    <r>
      <t>T [</t>
    </r>
    <r>
      <rPr>
        <sz val="11"/>
        <color theme="1"/>
        <rFont val="Aptos Narrow"/>
        <family val="2"/>
      </rPr>
      <t>°</t>
    </r>
    <r>
      <rPr>
        <sz val="8.6"/>
        <color theme="1"/>
        <rFont val="Aptos Narrow"/>
        <family val="2"/>
      </rPr>
      <t>C]</t>
    </r>
  </si>
  <si>
    <t>ν [m2/s]</t>
  </si>
  <si>
    <t>η [Pa*s]</t>
  </si>
  <si>
    <t>Water</t>
  </si>
  <si>
    <t>a</t>
  </si>
  <si>
    <t>b</t>
  </si>
  <si>
    <r>
      <t>T [</t>
    </r>
    <r>
      <rPr>
        <sz val="11"/>
        <color theme="1"/>
        <rFont val="Aptos Narrow"/>
        <family val="2"/>
      </rPr>
      <t>°</t>
    </r>
    <r>
      <rPr>
        <sz val="8.6"/>
        <color theme="1"/>
        <rFont val="Aptos Narrow"/>
        <family val="2"/>
      </rPr>
      <t>C]</t>
    </r>
    <r>
      <rPr>
        <sz val="11"/>
        <color theme="1"/>
        <rFont val="Aptos Narrow"/>
        <family val="2"/>
        <scheme val="minor"/>
      </rPr>
      <t xml:space="preserve"> input</t>
    </r>
  </si>
  <si>
    <t>Vmax</t>
  </si>
  <si>
    <t>m/s</t>
  </si>
  <si>
    <t xml:space="preserve">Wandruwheid </t>
  </si>
  <si>
    <t>Reynolds</t>
  </si>
  <si>
    <t xml:space="preserve">Lambda </t>
  </si>
  <si>
    <t>Pa/m</t>
  </si>
  <si>
    <t>Temperatuur Medium</t>
  </si>
  <si>
    <t>Medium</t>
  </si>
  <si>
    <t>T</t>
  </si>
  <si>
    <r>
      <rPr>
        <sz val="11"/>
        <color theme="1"/>
        <rFont val="Aptos Narrow"/>
        <family val="2"/>
      </rPr>
      <t>°</t>
    </r>
    <r>
      <rPr>
        <sz val="8.6"/>
        <color theme="1"/>
        <rFont val="Aptos Narrow"/>
        <family val="2"/>
      </rPr>
      <t>C</t>
    </r>
  </si>
  <si>
    <t>Type Buis</t>
  </si>
  <si>
    <t>Draadbuis EN 10255M (DIN 2440)</t>
  </si>
  <si>
    <t>-</t>
  </si>
  <si>
    <t>Uitgebreide invoer</t>
  </si>
  <si>
    <t>Gegevens</t>
  </si>
  <si>
    <t>mengverhouding</t>
  </si>
  <si>
    <t>%</t>
  </si>
  <si>
    <t>G/W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</si>
</sst>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6" formatCode="_ * #,##0.0000_ ;_ * \-#,##0.0000_ ;_ * &quot;-&quot;??_ ;_ @_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.6"/>
      <color theme="1"/>
      <name val="Aptos Narrow"/>
      <family val="2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2" fontId="0" fillId="3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6" fillId="0" borderId="0" xfId="0" applyFont="1"/>
    <xf numFmtId="0" fontId="2" fillId="0" borderId="0" xfId="0" applyFont="1"/>
    <xf numFmtId="11" fontId="0" fillId="0" borderId="7" xfId="0" applyNumberFormat="1" applyBorder="1"/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1" fontId="0" fillId="3" borderId="0" xfId="0" applyNumberFormat="1" applyFill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Border="1"/>
    <xf numFmtId="0" fontId="0" fillId="2" borderId="0" xfId="0" applyFill="1" applyAlignment="1">
      <alignment horizontal="center"/>
    </xf>
    <xf numFmtId="164" fontId="0" fillId="3" borderId="0" xfId="1" applyNumberFormat="1" applyFont="1" applyFill="1"/>
    <xf numFmtId="166" fontId="0" fillId="3" borderId="0" xfId="0" applyNumberFormat="1" applyFill="1"/>
    <xf numFmtId="0" fontId="0" fillId="0" borderId="0" xfId="0" quotePrefix="1" applyFill="1" applyBorder="1"/>
    <xf numFmtId="11" fontId="0" fillId="2" borderId="0" xfId="0" applyNumberFormat="1" applyFill="1"/>
    <xf numFmtId="2" fontId="0" fillId="2" borderId="0" xfId="0" applyNumberFormat="1" applyFill="1"/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1" fontId="0" fillId="0" borderId="0" xfId="0" applyNumberFormat="1" applyBorder="1"/>
    <xf numFmtId="2" fontId="0" fillId="3" borderId="0" xfId="0" applyNumberFormat="1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endParaRPr lang="nl-NL"/>
          </a:p>
        </c:rich>
      </c:tx>
      <c:layout>
        <c:manualLayout>
          <c:xMode val="edge"/>
          <c:yMode val="edge"/>
          <c:x val="0.1391907584542901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7254416889196509E-2"/>
          <c:y val="0.17171296296296298"/>
          <c:w val="0.73479170409918115"/>
          <c:h val="0.72125801983085447"/>
        </c:manualLayout>
      </c:layout>
      <c:lineChart>
        <c:grouping val="stacked"/>
        <c:varyColors val="0"/>
        <c:ser>
          <c:idx val="0"/>
          <c:order val="0"/>
          <c:tx>
            <c:strRef>
              <c:f>Blad1!$C$33</c:f>
              <c:strCache>
                <c:ptCount val="1"/>
                <c:pt idx="0">
                  <c:v>ρ [kg/m3]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Blad1!$B$34:$B$45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Blad1!$C$34:$C$45</c:f>
              <c:numCache>
                <c:formatCode>General</c:formatCode>
                <c:ptCount val="12"/>
                <c:pt idx="0">
                  <c:v>999.79</c:v>
                </c:pt>
                <c:pt idx="1">
                  <c:v>999.97</c:v>
                </c:pt>
                <c:pt idx="2">
                  <c:v>999.65</c:v>
                </c:pt>
                <c:pt idx="3">
                  <c:v>998.16</c:v>
                </c:pt>
                <c:pt idx="4">
                  <c:v>995.59</c:v>
                </c:pt>
                <c:pt idx="5">
                  <c:v>992.17</c:v>
                </c:pt>
                <c:pt idx="6">
                  <c:v>988.04</c:v>
                </c:pt>
                <c:pt idx="7">
                  <c:v>983.13</c:v>
                </c:pt>
                <c:pt idx="8">
                  <c:v>977.7</c:v>
                </c:pt>
                <c:pt idx="9">
                  <c:v>971.81</c:v>
                </c:pt>
                <c:pt idx="10">
                  <c:v>965.34</c:v>
                </c:pt>
                <c:pt idx="11">
                  <c:v>958.4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A-44C9-8EFE-B4E085B8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971455"/>
        <c:axId val="416969055"/>
      </c:lineChart>
      <c:lineChart>
        <c:grouping val="stacked"/>
        <c:varyColors val="0"/>
        <c:ser>
          <c:idx val="1"/>
          <c:order val="1"/>
          <c:tx>
            <c:strRef>
              <c:f>Blad1!$D$33</c:f>
              <c:strCache>
                <c:ptCount val="1"/>
                <c:pt idx="0">
                  <c:v>ν [m2/s]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Blad1!$B$34:$B$45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Blad1!$D$34:$D$45</c:f>
              <c:numCache>
                <c:formatCode>General</c:formatCode>
                <c:ptCount val="12"/>
                <c:pt idx="0">
                  <c:v>1.7918999999999999E-6</c:v>
                </c:pt>
                <c:pt idx="1">
                  <c:v>1.5707000000000001E-6</c:v>
                </c:pt>
                <c:pt idx="2">
                  <c:v>1.3081E-6</c:v>
                </c:pt>
                <c:pt idx="3">
                  <c:v>1.0022999999999999E-6</c:v>
                </c:pt>
                <c:pt idx="4" formatCode="0.00E+00">
                  <c:v>7.9999999999999996E-7</c:v>
                </c:pt>
                <c:pt idx="5" formatCode="0.00E+00">
                  <c:v>6.5909999999999997E-7</c:v>
                </c:pt>
                <c:pt idx="6" formatCode="0.00E+00">
                  <c:v>5.5410000000000002E-7</c:v>
                </c:pt>
                <c:pt idx="7" formatCode="0.00E+00">
                  <c:v>4.7360000000000001E-7</c:v>
                </c:pt>
                <c:pt idx="8" formatCode="0.00E+00">
                  <c:v>4.1160000000000001E-7</c:v>
                </c:pt>
                <c:pt idx="9" formatCode="0.00E+00">
                  <c:v>3.6390000000000002E-7</c:v>
                </c:pt>
                <c:pt idx="10" formatCode="0.00E+00">
                  <c:v>3.248E-7</c:v>
                </c:pt>
                <c:pt idx="11" formatCode="0.00E+00">
                  <c:v>2.938E-7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A-44C9-8EFE-B4E085B8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782015"/>
        <c:axId val="552794495"/>
      </c:lineChart>
      <c:catAx>
        <c:axId val="41697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6969055"/>
        <c:crosses val="autoZero"/>
        <c:auto val="1"/>
        <c:lblAlgn val="ctr"/>
        <c:lblOffset val="100"/>
        <c:noMultiLvlLbl val="0"/>
      </c:catAx>
      <c:valAx>
        <c:axId val="41696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6971455"/>
        <c:crosses val="autoZero"/>
        <c:crossBetween val="between"/>
      </c:valAx>
      <c:valAx>
        <c:axId val="5527944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2782015"/>
        <c:crosses val="max"/>
        <c:crossBetween val="between"/>
      </c:valAx>
      <c:catAx>
        <c:axId val="5527820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2794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709236323597486"/>
          <c:y val="7.8630796150481195E-4"/>
          <c:w val="0.46297035521870472"/>
          <c:h val="0.193288130650335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C$9" horiz="1" max="1000" page="10" val="21"/>
</file>

<file path=xl/ctrlProps/ctrlProp2.xml><?xml version="1.0" encoding="utf-8"?>
<formControlPr xmlns="http://schemas.microsoft.com/office/spreadsheetml/2009/9/main" objectType="Scroll" dx="22" fmlaLink="$D$11" horiz="1" max="100" page="10" val="15"/>
</file>

<file path=xl/ctrlProps/ctrlProp3.xml><?xml version="1.0" encoding="utf-8"?>
<formControlPr xmlns="http://schemas.microsoft.com/office/spreadsheetml/2009/9/main" objectType="Scroll" dx="22" fmlaLink="$C$16" horiz="1" max="10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238125</xdr:rowOff>
        </xdr:from>
        <xdr:to>
          <xdr:col>8</xdr:col>
          <xdr:colOff>514106</xdr:colOff>
          <xdr:row>8</xdr:row>
          <xdr:rowOff>238125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8</xdr:col>
          <xdr:colOff>495056</xdr:colOff>
          <xdr:row>11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8</xdr:col>
          <xdr:colOff>476006</xdr:colOff>
          <xdr:row>16</xdr:row>
          <xdr:rowOff>47625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260104</xdr:colOff>
      <xdr:row>30</xdr:row>
      <xdr:rowOff>167055</xdr:rowOff>
    </xdr:from>
    <xdr:to>
      <xdr:col>12</xdr:col>
      <xdr:colOff>248867</xdr:colOff>
      <xdr:row>44</xdr:row>
      <xdr:rowOff>174870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21C2610-5D9A-0DFD-2EC5-61EA3F121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ropman-my.sharepoint.com/personal/steven_bax_kropman_nl/Documents/O&amp;T/Proces%20en%20voorbeeldbestanden/Handige%20rekenmodellen/Leidingdimensionering%20v1.xlsx" TargetMode="External"/><Relationship Id="rId1" Type="http://schemas.openxmlformats.org/officeDocument/2006/relationships/externalLinkPath" Target="https://kropman-my.sharepoint.com/personal/steven_bax_kropman_nl/Documents/O&amp;T/Proces%20en%20voorbeeldbestanden/Handige%20rekenmodellen/Leidingdimensionering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elichting"/>
      <sheetName val="Verzamelblad"/>
      <sheetName val="Voorblad"/>
      <sheetName val="Snelselectie diameter"/>
      <sheetName val="Leidingweerstand"/>
      <sheetName val="Pompvermogen"/>
      <sheetName val="Warmteverlies"/>
      <sheetName val="Oppervlaktecondensatie"/>
      <sheetName val="Beugelafstand"/>
      <sheetName val="Uitzetting buis"/>
      <sheetName val="Montage"/>
      <sheetName val="Expansiebeen"/>
      <sheetName val="Opstartenergie"/>
      <sheetName val="Corrosie"/>
      <sheetName val="Trillingen"/>
      <sheetName val="Data buis"/>
      <sheetName val="Data Isolatie"/>
      <sheetName val="Data Medium"/>
      <sheetName val="Data Appendages"/>
      <sheetName val="Data montage"/>
      <sheetName val="Constanten Mollier"/>
      <sheetName val="Versiebehe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70">
          <cell r="F70">
            <v>21.7</v>
          </cell>
          <cell r="T70">
            <v>4.4999999999999993E-6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D3FF-4900-4CC7-BBE8-3346567EDD8A}">
  <dimension ref="B2:O46"/>
  <sheetViews>
    <sheetView tabSelected="1" zoomScale="78" zoomScaleNormal="130" workbookViewId="0">
      <selection activeCell="P20" sqref="P20"/>
    </sheetView>
  </sheetViews>
  <sheetFormatPr defaultRowHeight="15" x14ac:dyDescent="0.25"/>
  <cols>
    <col min="2" max="2" width="21.85546875" bestFit="1" customWidth="1"/>
    <col min="3" max="3" width="9.42578125" customWidth="1"/>
    <col min="4" max="4" width="12.5703125" customWidth="1"/>
    <col min="5" max="5" width="11.85546875" bestFit="1" customWidth="1"/>
    <col min="8" max="8" width="11.140625" bestFit="1" customWidth="1"/>
    <col min="9" max="9" width="10.85546875" customWidth="1"/>
    <col min="10" max="11" width="10.140625" customWidth="1"/>
    <col min="12" max="12" width="9.28515625" customWidth="1"/>
    <col min="13" max="13" width="12.28515625" bestFit="1" customWidth="1"/>
    <col min="14" max="14" width="16.7109375" customWidth="1"/>
    <col min="15" max="15" width="26.7109375" bestFit="1" customWidth="1"/>
  </cols>
  <sheetData>
    <row r="2" spans="2:13" ht="28.5" x14ac:dyDescent="0.45">
      <c r="B2" s="2" t="s">
        <v>4</v>
      </c>
    </row>
    <row r="3" spans="2:13" ht="18" customHeight="1" x14ac:dyDescent="0.45">
      <c r="B3" s="2"/>
    </row>
    <row r="4" spans="2:13" ht="17.25" customHeight="1" x14ac:dyDescent="0.45">
      <c r="B4" s="2"/>
    </row>
    <row r="5" spans="2:13" ht="16.5" customHeight="1" x14ac:dyDescent="0.45">
      <c r="B5" s="4"/>
      <c r="C5" t="s">
        <v>2</v>
      </c>
    </row>
    <row r="6" spans="2:13" ht="18.75" customHeight="1" x14ac:dyDescent="0.45">
      <c r="B6" s="3"/>
      <c r="C6" t="s">
        <v>3</v>
      </c>
    </row>
    <row r="7" spans="2:13" ht="18.75" customHeight="1" thickBot="1" x14ac:dyDescent="0.3">
      <c r="K7" s="1"/>
    </row>
    <row r="8" spans="2:13" ht="18.75" customHeight="1" x14ac:dyDescent="0.25">
      <c r="B8" s="8" t="s">
        <v>0</v>
      </c>
      <c r="C8" s="9"/>
      <c r="D8" s="9"/>
      <c r="E8" s="9"/>
      <c r="F8" s="9"/>
      <c r="G8" s="9"/>
      <c r="H8" s="10"/>
      <c r="I8" s="25"/>
      <c r="K8" s="18" t="s">
        <v>7</v>
      </c>
    </row>
    <row r="9" spans="2:13" ht="18.75" customHeight="1" x14ac:dyDescent="0.25">
      <c r="B9" s="11" t="s">
        <v>5</v>
      </c>
      <c r="C9" s="17">
        <v>21.7</v>
      </c>
      <c r="H9" s="12"/>
      <c r="I9" s="25"/>
      <c r="K9" t="s">
        <v>9</v>
      </c>
      <c r="L9" s="42">
        <f>((PI()*(C9*10^-3)^2)/4)*C11*3600</f>
        <v>2.6628202163680159</v>
      </c>
    </row>
    <row r="10" spans="2:13" ht="18.75" customHeight="1" x14ac:dyDescent="0.25">
      <c r="B10" s="11"/>
      <c r="H10" s="12"/>
      <c r="I10" s="25"/>
      <c r="K10" t="s">
        <v>8</v>
      </c>
      <c r="L10" s="42">
        <f>L9/3.6*60</f>
        <v>44.380336939466929</v>
      </c>
    </row>
    <row r="11" spans="2:13" ht="18.75" customHeight="1" x14ac:dyDescent="0.25">
      <c r="B11" s="11" t="s">
        <v>6</v>
      </c>
      <c r="C11" s="17">
        <v>2</v>
      </c>
      <c r="D11">
        <v>15</v>
      </c>
      <c r="H11" s="12"/>
      <c r="I11" s="25"/>
      <c r="K11" t="s">
        <v>10</v>
      </c>
      <c r="L11" s="42">
        <f>L9/3.6</f>
        <v>0.73967228232444882</v>
      </c>
    </row>
    <row r="12" spans="2:13" ht="18.75" customHeight="1" thickBot="1" x14ac:dyDescent="0.3">
      <c r="B12" s="13"/>
      <c r="C12" s="14"/>
      <c r="D12" s="14"/>
      <c r="E12" s="14"/>
      <c r="F12" s="14"/>
      <c r="G12" s="14"/>
      <c r="H12" s="15"/>
      <c r="I12" s="25"/>
    </row>
    <row r="13" spans="2:13" ht="18.75" customHeight="1" x14ac:dyDescent="0.25">
      <c r="K13" t="s">
        <v>33</v>
      </c>
      <c r="L13" s="5">
        <f>3*SQRT(C9*10^-3)</f>
        <v>0.44192759587968711</v>
      </c>
      <c r="M13" t="s">
        <v>34</v>
      </c>
    </row>
    <row r="14" spans="2:13" ht="18.75" customHeight="1" thickBot="1" x14ac:dyDescent="0.3"/>
    <row r="15" spans="2:13" x14ac:dyDescent="0.25">
      <c r="B15" s="16"/>
      <c r="C15" s="9"/>
      <c r="D15" s="9"/>
      <c r="E15" s="9"/>
      <c r="F15" s="9"/>
      <c r="G15" s="9"/>
      <c r="H15" s="10"/>
      <c r="I15" s="25"/>
      <c r="K15" s="1" t="s">
        <v>12</v>
      </c>
    </row>
    <row r="16" spans="2:13" x14ac:dyDescent="0.25">
      <c r="B16" s="11" t="s">
        <v>11</v>
      </c>
      <c r="C16" s="17">
        <v>1</v>
      </c>
      <c r="H16" s="12"/>
      <c r="I16" s="25"/>
      <c r="K16" t="s">
        <v>1</v>
      </c>
      <c r="L16" s="5">
        <f>L17/100</f>
        <v>2.3140584547349703E-2</v>
      </c>
    </row>
    <row r="17" spans="2:14" ht="15.75" thickBot="1" x14ac:dyDescent="0.3">
      <c r="B17" s="13"/>
      <c r="C17" s="14"/>
      <c r="D17" s="14"/>
      <c r="E17" s="14"/>
      <c r="F17" s="14"/>
      <c r="G17" s="14"/>
      <c r="H17" s="15"/>
      <c r="I17" s="25"/>
      <c r="K17" t="s">
        <v>13</v>
      </c>
      <c r="L17" s="5">
        <f>L18/1000</f>
        <v>2.3140584547349703</v>
      </c>
    </row>
    <row r="18" spans="2:14" x14ac:dyDescent="0.25">
      <c r="B18" s="25"/>
      <c r="C18" s="25"/>
      <c r="D18" s="25"/>
      <c r="E18" s="25"/>
      <c r="F18" s="25"/>
      <c r="G18" s="25"/>
      <c r="H18" s="25"/>
      <c r="I18" s="25"/>
      <c r="K18" t="s">
        <v>24</v>
      </c>
      <c r="L18" s="26">
        <f>H24*(C16/(C9/1000))*0.5*H20*C11^2</f>
        <v>2314.0584547349704</v>
      </c>
    </row>
    <row r="19" spans="2:14" x14ac:dyDescent="0.25">
      <c r="B19" s="30" t="s">
        <v>46</v>
      </c>
      <c r="C19" s="25"/>
      <c r="D19" s="25"/>
      <c r="E19" s="25"/>
      <c r="F19" s="25"/>
      <c r="G19" s="25"/>
      <c r="H19" s="25"/>
      <c r="I19" s="25"/>
      <c r="K19" t="s">
        <v>38</v>
      </c>
      <c r="L19" s="26">
        <f>L18/C16</f>
        <v>2314.0584547349704</v>
      </c>
    </row>
    <row r="20" spans="2:14" x14ac:dyDescent="0.25">
      <c r="B20" t="s">
        <v>40</v>
      </c>
      <c r="C20" s="31" t="s">
        <v>29</v>
      </c>
      <c r="D20" s="31"/>
      <c r="E20" s="31"/>
      <c r="F20" t="s">
        <v>22</v>
      </c>
      <c r="G20" s="19" t="s">
        <v>16</v>
      </c>
      <c r="H20" s="36">
        <f>D22*G28+H28</f>
        <v>999.79</v>
      </c>
      <c r="I20" t="s">
        <v>15</v>
      </c>
    </row>
    <row r="21" spans="2:14" x14ac:dyDescent="0.25">
      <c r="B21" t="s">
        <v>48</v>
      </c>
      <c r="C21" t="s">
        <v>50</v>
      </c>
      <c r="D21">
        <v>0</v>
      </c>
      <c r="E21" t="s">
        <v>49</v>
      </c>
      <c r="F21" t="s">
        <v>20</v>
      </c>
      <c r="G21" s="19" t="s">
        <v>17</v>
      </c>
      <c r="H21" s="35">
        <f>D22*G29+H29</f>
        <v>1.7918999999999997E-6</v>
      </c>
      <c r="I21" t="s">
        <v>18</v>
      </c>
    </row>
    <row r="22" spans="2:14" x14ac:dyDescent="0.25">
      <c r="B22" t="s">
        <v>39</v>
      </c>
      <c r="C22" s="28" t="s">
        <v>41</v>
      </c>
      <c r="D22" s="17">
        <v>0</v>
      </c>
      <c r="E22" s="29" t="s">
        <v>42</v>
      </c>
      <c r="F22" s="25" t="s">
        <v>35</v>
      </c>
      <c r="G22" s="19" t="s">
        <v>19</v>
      </c>
      <c r="H22" s="35">
        <v>4.4999999999999997E-3</v>
      </c>
      <c r="I22" s="25" t="s">
        <v>23</v>
      </c>
    </row>
    <row r="23" spans="2:14" x14ac:dyDescent="0.25">
      <c r="B23" t="s">
        <v>43</v>
      </c>
      <c r="C23" s="31" t="s">
        <v>44</v>
      </c>
      <c r="D23" s="31"/>
      <c r="E23" s="31"/>
      <c r="F23" s="27" t="s">
        <v>36</v>
      </c>
      <c r="G23" s="19" t="s">
        <v>14</v>
      </c>
      <c r="H23" s="32">
        <f>(C9/1000)*C11/H21</f>
        <v>24220.101568167869</v>
      </c>
      <c r="I23" s="34" t="s">
        <v>45</v>
      </c>
    </row>
    <row r="24" spans="2:14" x14ac:dyDescent="0.25">
      <c r="F24" s="25" t="s">
        <v>37</v>
      </c>
      <c r="G24" s="19" t="s">
        <v>21</v>
      </c>
      <c r="H24" s="33">
        <f>((-2*LOG(((H22/1000)/(3.72*C9/1000))+(5.74/(H23^0.901))))^-1)^2</f>
        <v>2.5112807923538375E-2</v>
      </c>
    </row>
    <row r="25" spans="2:14" x14ac:dyDescent="0.25">
      <c r="B25" s="1" t="s">
        <v>47</v>
      </c>
    </row>
    <row r="27" spans="2:14" x14ac:dyDescent="0.25">
      <c r="B27" t="s">
        <v>32</v>
      </c>
      <c r="C27" s="6" t="s">
        <v>26</v>
      </c>
      <c r="D27" s="21" t="s">
        <v>25</v>
      </c>
      <c r="E27" s="21" t="s">
        <v>27</v>
      </c>
      <c r="G27" s="6" t="s">
        <v>30</v>
      </c>
      <c r="H27" s="6" t="s">
        <v>31</v>
      </c>
    </row>
    <row r="28" spans="2:14" x14ac:dyDescent="0.25">
      <c r="C28" s="6">
        <f>INDEX(B34:C45,MATCH(D22,B34:B45,1),1)</f>
        <v>0</v>
      </c>
      <c r="D28" s="6">
        <f>INDEX(B34:C45,MATCH(D22,B34:B45,1),2)</f>
        <v>999.79</v>
      </c>
      <c r="E28" s="6">
        <f>INDEX(B34:D45,MATCH(D22,B34:B45,1),3)</f>
        <v>1.7918999999999999E-6</v>
      </c>
      <c r="F28" s="19" t="s">
        <v>25</v>
      </c>
      <c r="G28" s="6" cm="1">
        <f t="array" ref="G28:H28">LINEST(D28:D29,C28:C29,)</f>
        <v>4.5000000000015916E-2</v>
      </c>
      <c r="H28" s="6">
        <v>999.79</v>
      </c>
    </row>
    <row r="29" spans="2:14" ht="17.25" customHeight="1" x14ac:dyDescent="0.25">
      <c r="C29" s="6" cm="1">
        <f t="array" ref="C29">INDEX(B34:C45,MATCH(D22,B34:B45,1)+1,1)</f>
        <v>4</v>
      </c>
      <c r="D29" s="6" cm="1">
        <f t="array" ref="D29">INDEX(B34:C45,MATCH(D22,B34:B45,1)+1,2)</f>
        <v>999.97</v>
      </c>
      <c r="E29" s="6" cm="1">
        <f t="array" ref="E29">INDEX(B34:D45,MATCH(D22,B34:B45,1)+1,3)</f>
        <v>1.5707000000000001E-6</v>
      </c>
      <c r="F29" s="19" t="s">
        <v>27</v>
      </c>
      <c r="G29" s="6" cm="1">
        <f t="array" ref="G29:H29">LINEST(E28:E29,C28:C29,TRUE)</f>
        <v>-5.5299999999999972E-8</v>
      </c>
      <c r="H29" s="6">
        <v>1.7918999999999997E-6</v>
      </c>
    </row>
    <row r="30" spans="2:14" x14ac:dyDescent="0.25">
      <c r="C30" s="19"/>
      <c r="D30" s="7"/>
      <c r="K30" s="6"/>
      <c r="L30" s="6"/>
    </row>
    <row r="31" spans="2:14" ht="15.75" thickBot="1" x14ac:dyDescent="0.3"/>
    <row r="32" spans="2:14" ht="15.75" thickBot="1" x14ac:dyDescent="0.3">
      <c r="C32" s="22" t="s">
        <v>29</v>
      </c>
      <c r="D32" s="23"/>
      <c r="E32" s="24"/>
      <c r="F32" s="37"/>
      <c r="G32" s="37"/>
      <c r="H32" s="37"/>
      <c r="I32" s="37"/>
      <c r="J32" s="37"/>
      <c r="K32" s="37"/>
      <c r="L32" s="37"/>
      <c r="M32" s="37"/>
      <c r="N32" s="37"/>
    </row>
    <row r="33" spans="2:15" ht="15.75" thickBot="1" x14ac:dyDescent="0.3">
      <c r="B33" s="28" t="s">
        <v>26</v>
      </c>
      <c r="C33" s="38" t="s">
        <v>25</v>
      </c>
      <c r="D33" s="40" t="s">
        <v>27</v>
      </c>
      <c r="E33" s="40" t="s">
        <v>28</v>
      </c>
      <c r="F33" s="39"/>
      <c r="G33" s="39"/>
      <c r="H33" s="39"/>
      <c r="I33" s="39"/>
      <c r="J33" s="39"/>
      <c r="K33" s="39"/>
      <c r="L33" s="39"/>
      <c r="M33" s="39"/>
      <c r="N33" s="39"/>
      <c r="O33" s="6"/>
    </row>
    <row r="34" spans="2:15" x14ac:dyDescent="0.25">
      <c r="B34">
        <v>0</v>
      </c>
      <c r="C34" s="11">
        <v>999.79</v>
      </c>
      <c r="D34" s="25">
        <v>1.7918999999999999E-6</v>
      </c>
      <c r="E34" s="12">
        <f t="shared" ref="E34:E45" si="0">D34*C34</f>
        <v>1.791523701E-3</v>
      </c>
      <c r="F34" s="25"/>
      <c r="G34" s="25"/>
      <c r="H34" s="25"/>
      <c r="I34" s="25"/>
      <c r="J34" s="25"/>
      <c r="K34" s="25"/>
      <c r="L34" s="25"/>
      <c r="M34" s="25"/>
      <c r="N34" s="25"/>
    </row>
    <row r="35" spans="2:15" x14ac:dyDescent="0.25">
      <c r="B35">
        <v>4</v>
      </c>
      <c r="C35" s="11">
        <v>999.97</v>
      </c>
      <c r="D35" s="25">
        <v>1.5707000000000001E-6</v>
      </c>
      <c r="E35" s="12">
        <f t="shared" si="0"/>
        <v>1.570652879E-3</v>
      </c>
      <c r="F35" s="25"/>
      <c r="G35" s="25"/>
      <c r="H35" s="25"/>
      <c r="I35" s="25"/>
      <c r="J35" s="25"/>
      <c r="K35" s="25"/>
      <c r="L35" s="25"/>
      <c r="M35" s="25"/>
      <c r="N35" s="25"/>
    </row>
    <row r="36" spans="2:15" x14ac:dyDescent="0.25">
      <c r="B36">
        <v>10</v>
      </c>
      <c r="C36" s="11">
        <v>999.65</v>
      </c>
      <c r="D36" s="25">
        <v>1.3081E-6</v>
      </c>
      <c r="E36" s="12">
        <f t="shared" si="0"/>
        <v>1.3076421649999999E-3</v>
      </c>
      <c r="F36" s="25"/>
      <c r="G36" s="25"/>
      <c r="H36" s="25"/>
      <c r="I36" s="25"/>
      <c r="J36" s="25"/>
      <c r="K36" s="25"/>
      <c r="L36" s="25"/>
      <c r="M36" s="25"/>
      <c r="N36" s="25"/>
    </row>
    <row r="37" spans="2:15" x14ac:dyDescent="0.25">
      <c r="B37">
        <v>20</v>
      </c>
      <c r="C37" s="11">
        <v>998.16</v>
      </c>
      <c r="D37" s="25">
        <v>1.0022999999999999E-6</v>
      </c>
      <c r="E37" s="12">
        <f>D37*C37</f>
        <v>1.0004557679999999E-3</v>
      </c>
      <c r="F37" s="25"/>
      <c r="G37" s="25"/>
      <c r="H37" s="25"/>
      <c r="I37" s="25"/>
      <c r="J37" s="25"/>
      <c r="K37" s="25"/>
      <c r="L37" s="25"/>
      <c r="M37" s="25"/>
      <c r="N37" s="25"/>
    </row>
    <row r="38" spans="2:15" x14ac:dyDescent="0.25">
      <c r="B38">
        <v>30</v>
      </c>
      <c r="C38" s="11">
        <v>995.59</v>
      </c>
      <c r="D38" s="41">
        <v>7.9999999999999996E-7</v>
      </c>
      <c r="E38" s="12">
        <f t="shared" si="0"/>
        <v>7.96472E-4</v>
      </c>
      <c r="F38" s="25"/>
      <c r="G38" s="25"/>
      <c r="H38" s="25"/>
      <c r="I38" s="25"/>
      <c r="J38" s="25"/>
      <c r="K38" s="25"/>
      <c r="L38" s="25"/>
      <c r="M38" s="25"/>
      <c r="N38" s="25"/>
    </row>
    <row r="39" spans="2:15" x14ac:dyDescent="0.25">
      <c r="B39">
        <v>40</v>
      </c>
      <c r="C39" s="11">
        <v>992.17</v>
      </c>
      <c r="D39" s="41">
        <v>6.5909999999999997E-7</v>
      </c>
      <c r="E39" s="12">
        <f t="shared" si="0"/>
        <v>6.5393924699999996E-4</v>
      </c>
      <c r="F39" s="25"/>
      <c r="G39" s="25"/>
      <c r="H39" s="25"/>
      <c r="I39" s="25"/>
      <c r="J39" s="25"/>
      <c r="K39" s="25"/>
      <c r="L39" s="25"/>
      <c r="M39" s="25"/>
      <c r="N39" s="25"/>
    </row>
    <row r="40" spans="2:15" x14ac:dyDescent="0.25">
      <c r="B40">
        <v>50</v>
      </c>
      <c r="C40" s="11">
        <v>988.04</v>
      </c>
      <c r="D40" s="41">
        <v>5.5410000000000002E-7</v>
      </c>
      <c r="E40" s="12">
        <f t="shared" si="0"/>
        <v>5.4747296399999996E-4</v>
      </c>
      <c r="F40" s="25"/>
      <c r="G40" s="25"/>
      <c r="H40" s="25"/>
      <c r="I40" s="25"/>
      <c r="J40" s="25"/>
      <c r="K40" s="25"/>
      <c r="L40" s="25"/>
      <c r="M40" s="25"/>
      <c r="N40" s="25"/>
    </row>
    <row r="41" spans="2:15" x14ac:dyDescent="0.25">
      <c r="B41">
        <v>60</v>
      </c>
      <c r="C41" s="11">
        <v>983.13</v>
      </c>
      <c r="D41" s="41">
        <v>4.7360000000000001E-7</v>
      </c>
      <c r="E41" s="12">
        <f t="shared" si="0"/>
        <v>4.6561036800000003E-4</v>
      </c>
      <c r="F41" s="25"/>
      <c r="G41" s="25"/>
      <c r="H41" s="25"/>
      <c r="I41" s="25"/>
      <c r="J41" s="25"/>
      <c r="K41" s="25"/>
      <c r="L41" s="25"/>
      <c r="M41" s="25"/>
      <c r="N41" s="25"/>
    </row>
    <row r="42" spans="2:15" x14ac:dyDescent="0.25">
      <c r="B42">
        <v>70</v>
      </c>
      <c r="C42" s="11">
        <v>977.7</v>
      </c>
      <c r="D42" s="41">
        <v>4.1160000000000001E-7</v>
      </c>
      <c r="E42" s="12">
        <f t="shared" si="0"/>
        <v>4.0242132000000005E-4</v>
      </c>
      <c r="F42" s="25"/>
      <c r="G42" s="25"/>
      <c r="H42" s="25"/>
      <c r="I42" s="25"/>
      <c r="J42" s="25"/>
      <c r="K42" s="25"/>
      <c r="L42" s="25"/>
      <c r="M42" s="25"/>
      <c r="N42" s="25"/>
    </row>
    <row r="43" spans="2:15" x14ac:dyDescent="0.25">
      <c r="B43">
        <v>80</v>
      </c>
      <c r="C43" s="11">
        <v>971.81</v>
      </c>
      <c r="D43" s="41">
        <v>3.6390000000000002E-7</v>
      </c>
      <c r="E43" s="12">
        <f t="shared" si="0"/>
        <v>3.5364165899999999E-4</v>
      </c>
      <c r="F43" s="25"/>
      <c r="G43" s="25"/>
      <c r="H43" s="25"/>
      <c r="I43" s="25"/>
      <c r="J43" s="25"/>
      <c r="K43" s="25"/>
      <c r="L43" s="25"/>
      <c r="M43" s="25"/>
      <c r="N43" s="25"/>
    </row>
    <row r="44" spans="2:15" x14ac:dyDescent="0.25">
      <c r="B44">
        <v>90</v>
      </c>
      <c r="C44" s="11">
        <v>965.34</v>
      </c>
      <c r="D44" s="41">
        <v>3.248E-7</v>
      </c>
      <c r="E44" s="12">
        <f t="shared" si="0"/>
        <v>3.13542432E-4</v>
      </c>
      <c r="F44" s="25"/>
      <c r="G44" s="25"/>
      <c r="H44" s="25"/>
      <c r="I44" s="25"/>
      <c r="J44" s="25"/>
      <c r="K44" s="25"/>
      <c r="L44" s="25"/>
      <c r="M44" s="25"/>
      <c r="N44" s="25"/>
    </row>
    <row r="45" spans="2:15" ht="15.75" thickBot="1" x14ac:dyDescent="0.3">
      <c r="B45">
        <v>100</v>
      </c>
      <c r="C45" s="13">
        <v>958.4</v>
      </c>
      <c r="D45" s="20">
        <v>2.938E-7</v>
      </c>
      <c r="E45" s="15">
        <f t="shared" si="0"/>
        <v>2.8157791999999999E-4</v>
      </c>
      <c r="F45" s="25"/>
      <c r="G45" s="25"/>
      <c r="H45" s="25"/>
      <c r="I45" s="25"/>
      <c r="J45" s="25"/>
      <c r="K45" s="25"/>
      <c r="L45" s="25"/>
      <c r="M45" s="25"/>
      <c r="N45" s="25"/>
    </row>
    <row r="46" spans="2:15" x14ac:dyDescent="0.25">
      <c r="F46" s="25"/>
      <c r="G46" s="25"/>
      <c r="H46" s="25"/>
      <c r="I46" s="25"/>
      <c r="J46" s="25"/>
      <c r="K46" s="25"/>
      <c r="L46" s="25"/>
      <c r="M46" s="25"/>
      <c r="N46" s="25"/>
    </row>
  </sheetData>
  <mergeCells count="6">
    <mergeCell ref="L32:N32"/>
    <mergeCell ref="C32:E32"/>
    <mergeCell ref="C20:E20"/>
    <mergeCell ref="F32:H32"/>
    <mergeCell ref="I32:K32"/>
    <mergeCell ref="C23:E2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238125</xdr:rowOff>
                  </from>
                  <to>
                    <xdr:col>8</xdr:col>
                    <xdr:colOff>523875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8</xdr:col>
                    <xdr:colOff>504825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croll Bar 3">
              <controlPr defaultSiz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8</xdr:col>
                    <xdr:colOff>485775</xdr:colOff>
                    <xdr:row>16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medium_Reynolds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Bax, S. (Steven)</dc:creator>
  <cp:lastModifiedBy>Bax, S. (Steven)</cp:lastModifiedBy>
  <dcterms:created xsi:type="dcterms:W3CDTF">2024-06-28T10:49:01Z</dcterms:created>
  <dcterms:modified xsi:type="dcterms:W3CDTF">2024-08-09T12:29:16Z</dcterms:modified>
</cp:coreProperties>
</file>