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8_{41AFDC0F-319C-436A-A501-3677F59FFB3D}" xr6:coauthVersionLast="47" xr6:coauthVersionMax="47" xr10:uidLastSave="{00000000-0000-0000-0000-000000000000}"/>
  <bookViews>
    <workbookView xWindow="-120" yWindow="-120" windowWidth="29040" windowHeight="15720" activeTab="2" xr2:uid="{A7EF3EAB-A55E-4308-8CCE-05A5B28C5DB4}"/>
  </bookViews>
  <sheets>
    <sheet name="CO2 belasting" sheetId="1" r:id="rId1"/>
    <sheet name="Grafisch" sheetId="3" r:id="rId2"/>
    <sheet name="Doorspoeling" sheetId="4" r:id="rId3"/>
    <sheet name="Luchtfilters" sheetId="2" r:id="rId4"/>
    <sheet name="virusbelast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F5" i="1"/>
  <c r="D6" i="3"/>
  <c r="D9" i="3"/>
  <c r="D10" i="3"/>
  <c r="D11" i="3"/>
  <c r="D14" i="3"/>
  <c r="D12" i="3"/>
  <c r="D15" i="3"/>
  <c r="D16" i="3"/>
  <c r="M25" i="3" s="1"/>
  <c r="M26" i="3" s="1"/>
  <c r="Q52" i="1"/>
  <c r="Q51" i="1"/>
  <c r="C15" i="1"/>
  <c r="C19" i="1"/>
  <c r="D19" i="3"/>
  <c r="X24" i="3"/>
  <c r="T24" i="3"/>
  <c r="T23" i="3"/>
  <c r="C8" i="5"/>
  <c r="E8" i="5"/>
  <c r="D8" i="3"/>
  <c r="D13" i="3"/>
  <c r="D17" i="3"/>
  <c r="D20" i="4"/>
  <c r="E16" i="4"/>
  <c r="E17" i="4"/>
  <c r="E19" i="4"/>
  <c r="C14" i="1"/>
  <c r="E15" i="1"/>
  <c r="C17" i="1"/>
  <c r="H12" i="5"/>
  <c r="H13" i="5"/>
  <c r="H14" i="5"/>
  <c r="V24" i="3"/>
  <c r="V23" i="3"/>
  <c r="C18" i="1"/>
  <c r="D7" i="5"/>
  <c r="H24" i="3"/>
  <c r="H23" i="3"/>
  <c r="U24" i="3"/>
  <c r="U23" i="3"/>
  <c r="M24" i="3"/>
  <c r="M23" i="3"/>
  <c r="S24" i="3"/>
  <c r="S23" i="3"/>
  <c r="I24" i="3"/>
  <c r="I23" i="3"/>
  <c r="J24" i="3"/>
  <c r="J23" i="3"/>
  <c r="G24" i="3"/>
  <c r="G23" i="3"/>
  <c r="W24" i="3"/>
  <c r="W23" i="3"/>
  <c r="K24" i="3"/>
  <c r="K23" i="3"/>
  <c r="F24" i="3"/>
  <c r="F23" i="3"/>
  <c r="E24" i="3"/>
  <c r="E23" i="3"/>
  <c r="L24" i="3"/>
  <c r="L23" i="3"/>
  <c r="N24" i="3"/>
  <c r="N23" i="3"/>
  <c r="P24" i="3"/>
  <c r="P23" i="3"/>
  <c r="O24" i="3"/>
  <c r="O23" i="3"/>
  <c r="Q24" i="3"/>
  <c r="Q23" i="3"/>
  <c r="R24" i="3"/>
  <c r="R23" i="3"/>
  <c r="D8" i="5"/>
  <c r="E12" i="5"/>
  <c r="E13" i="5"/>
  <c r="E14" i="5"/>
  <c r="D12" i="5"/>
  <c r="D13" i="5"/>
  <c r="D14" i="5"/>
  <c r="C21" i="1"/>
  <c r="C22" i="1"/>
  <c r="H8" i="5"/>
  <c r="F12" i="5"/>
  <c r="F13" i="5"/>
  <c r="F14" i="5"/>
  <c r="G8" i="5"/>
  <c r="G12" i="5"/>
  <c r="G13" i="5"/>
  <c r="G14" i="5"/>
  <c r="X23" i="3"/>
  <c r="D24" i="3"/>
  <c r="D23" i="3"/>
  <c r="F8" i="5"/>
  <c r="Q53" i="1"/>
  <c r="I25" i="3" l="1"/>
  <c r="I26" i="3" s="1"/>
  <c r="G25" i="3"/>
  <c r="G26" i="3" s="1"/>
  <c r="N25" i="3"/>
  <c r="N26" i="3" s="1"/>
  <c r="R25" i="3"/>
  <c r="R26" i="3" s="1"/>
  <c r="W25" i="3"/>
  <c r="W26" i="3" s="1"/>
  <c r="T25" i="3"/>
  <c r="T26" i="3" s="1"/>
  <c r="X25" i="3"/>
  <c r="X26" i="3" s="1"/>
  <c r="Q25" i="3"/>
  <c r="Q26" i="3" s="1"/>
  <c r="U25" i="3"/>
  <c r="U26" i="3" s="1"/>
  <c r="E25" i="3"/>
  <c r="E26" i="3" s="1"/>
  <c r="V25" i="3"/>
  <c r="V26" i="3" s="1"/>
  <c r="F25" i="3"/>
  <c r="F26" i="3" s="1"/>
  <c r="J25" i="3"/>
  <c r="J26" i="3" s="1"/>
  <c r="P25" i="3"/>
  <c r="P26" i="3" s="1"/>
  <c r="L25" i="3"/>
  <c r="L26" i="3" s="1"/>
  <c r="H25" i="3"/>
  <c r="H26" i="3" s="1"/>
  <c r="K25" i="3"/>
  <c r="K26" i="3" s="1"/>
  <c r="S25" i="3"/>
  <c r="S26" i="3" s="1"/>
  <c r="O25" i="3"/>
  <c r="O26" i="3" s="1"/>
  <c r="D25" i="3"/>
  <c r="D26" i="3" s="1"/>
</calcChain>
</file>

<file path=xl/sharedStrings.xml><?xml version="1.0" encoding="utf-8"?>
<sst xmlns="http://schemas.openxmlformats.org/spreadsheetml/2006/main" count="157" uniqueCount="86">
  <si>
    <t>Ruimteinhoud</t>
  </si>
  <si>
    <t>m3</t>
  </si>
  <si>
    <t>Ventilatiehoeveelheid/persoon</t>
  </si>
  <si>
    <t>m3/s</t>
  </si>
  <si>
    <t>CO2 productie /persoon</t>
  </si>
  <si>
    <t>Beginconcentratie</t>
  </si>
  <si>
    <t>Tijd</t>
  </si>
  <si>
    <t>s</t>
  </si>
  <si>
    <t>ppm</t>
  </si>
  <si>
    <t>Momentane concentratie</t>
  </si>
  <si>
    <t>CO2 tijdsverloop</t>
  </si>
  <si>
    <t>V</t>
  </si>
  <si>
    <t>t</t>
  </si>
  <si>
    <t>Co</t>
  </si>
  <si>
    <t>Aantal personen</t>
  </si>
  <si>
    <t>n</t>
  </si>
  <si>
    <t>m3/h</t>
  </si>
  <si>
    <t>Ventilatiehoeveelheid</t>
  </si>
  <si>
    <t>Kwaliteit buitenlucht</t>
  </si>
  <si>
    <t>Interne productie CO2</t>
  </si>
  <si>
    <t>q</t>
  </si>
  <si>
    <t>Cex</t>
  </si>
  <si>
    <t>dV</t>
  </si>
  <si>
    <t>m3gas/m3*1000000=ppm</t>
  </si>
  <si>
    <t>m3gas/m3</t>
  </si>
  <si>
    <t>C(t)</t>
  </si>
  <si>
    <t>Verhoging</t>
  </si>
  <si>
    <t>C(t)-Co</t>
  </si>
  <si>
    <t>%</t>
  </si>
  <si>
    <t>h</t>
  </si>
  <si>
    <t>m3gas/m3*100=v%gas/v</t>
  </si>
  <si>
    <t>Bezetting</t>
  </si>
  <si>
    <t>Zwaar belaste omgevingen CO2 tot 800 ppm</t>
  </si>
  <si>
    <t>Leerling</t>
  </si>
  <si>
    <t>PVE frisse scholen</t>
  </si>
  <si>
    <t>leraar</t>
  </si>
  <si>
    <t>12 jarige</t>
  </si>
  <si>
    <t>CO2 productie m3/h</t>
  </si>
  <si>
    <t>ventilatie</t>
  </si>
  <si>
    <t>klasse</t>
  </si>
  <si>
    <t>A</t>
  </si>
  <si>
    <t>B</t>
  </si>
  <si>
    <t>C</t>
  </si>
  <si>
    <t>CO2 max</t>
  </si>
  <si>
    <t>Isso -40</t>
  </si>
  <si>
    <t>Ventilatie-effectiviteit</t>
  </si>
  <si>
    <t>Recknagel</t>
  </si>
  <si>
    <t>Esv=1+(Ca-Cw)/(Cw-Ci)</t>
  </si>
  <si>
    <t xml:space="preserve">Ev=(Cab-Czl)/(Caz-Czl) </t>
  </si>
  <si>
    <t>Ca afzuig</t>
  </si>
  <si>
    <t>Ci inblaas</t>
  </si>
  <si>
    <t>Cw werkplek</t>
  </si>
  <si>
    <t>Cab abluft</t>
  </si>
  <si>
    <t>Czl zuluft</t>
  </si>
  <si>
    <t>Caz leefzone</t>
  </si>
  <si>
    <t>Formules zijn omrekenbaar aan elkaar gelijk</t>
  </si>
  <si>
    <t>ESV</t>
  </si>
  <si>
    <t>ESV =1 volledige menging</t>
  </si>
  <si>
    <t>ESV = groot ideale verdringing</t>
  </si>
  <si>
    <t>Ca=Cw</t>
  </si>
  <si>
    <t>Cw=Ci</t>
  </si>
  <si>
    <t>(Seite 1486)</t>
  </si>
  <si>
    <t>Bij ideale menging</t>
  </si>
  <si>
    <t>EN 13779</t>
  </si>
  <si>
    <t>c limit</t>
  </si>
  <si>
    <t>partical em</t>
  </si>
  <si>
    <t>aantal pers</t>
  </si>
  <si>
    <t>V ihale</t>
  </si>
  <si>
    <t>p/s</t>
  </si>
  <si>
    <t>min</t>
  </si>
  <si>
    <t>part</t>
  </si>
  <si>
    <t>uur</t>
  </si>
  <si>
    <t>sec</t>
  </si>
  <si>
    <t>periode</t>
  </si>
  <si>
    <t>l/h</t>
  </si>
  <si>
    <t>2020:    415 ppm</t>
  </si>
  <si>
    <t>cm3/s</t>
  </si>
  <si>
    <t>ve</t>
  </si>
  <si>
    <t>voor temperatuurvereffening geldt dit niet</t>
  </si>
  <si>
    <t>door dampspanningsvereffening is bij lage concentraties vaak sprake van ideale menging</t>
  </si>
  <si>
    <t>l/s</t>
  </si>
  <si>
    <t>bron : Masterplan ventilatie</t>
  </si>
  <si>
    <t>VABI</t>
  </si>
  <si>
    <t>hoogte</t>
  </si>
  <si>
    <t>inhoud</t>
  </si>
  <si>
    <t>opp/pers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</si>
</sst>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"/>
    <numFmt numFmtId="17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0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5" borderId="0" xfId="0" applyFill="1"/>
    <xf numFmtId="0" fontId="7" fillId="0" borderId="0" xfId="0" applyFont="1"/>
    <xf numFmtId="0" fontId="3" fillId="3" borderId="0" xfId="2"/>
    <xf numFmtId="0" fontId="8" fillId="0" borderId="0" xfId="0" applyFont="1"/>
    <xf numFmtId="9" fontId="1" fillId="5" borderId="0" xfId="4" applyFont="1" applyFill="1"/>
    <xf numFmtId="11" fontId="3" fillId="3" borderId="0" xfId="2" applyNumberFormat="1"/>
    <xf numFmtId="175" fontId="3" fillId="3" borderId="0" xfId="2" applyNumberFormat="1"/>
    <xf numFmtId="1" fontId="3" fillId="3" borderId="0" xfId="2" applyNumberFormat="1"/>
    <xf numFmtId="0" fontId="2" fillId="2" borderId="10" xfId="1"/>
    <xf numFmtId="0" fontId="5" fillId="0" borderId="0" xfId="0" applyFont="1"/>
    <xf numFmtId="0" fontId="4" fillId="4" borderId="0" xfId="3"/>
    <xf numFmtId="0" fontId="9" fillId="0" borderId="0" xfId="0" applyFont="1"/>
    <xf numFmtId="0" fontId="5" fillId="5" borderId="1" xfId="0" applyFont="1" applyFill="1" applyBorder="1"/>
    <xf numFmtId="11" fontId="3" fillId="0" borderId="0" xfId="2" applyNumberFormat="1" applyFill="1"/>
    <xf numFmtId="177" fontId="0" fillId="0" borderId="0" xfId="0" applyNumberFormat="1"/>
    <xf numFmtId="1" fontId="0" fillId="0" borderId="0" xfId="0" applyNumberFormat="1"/>
    <xf numFmtId="1" fontId="3" fillId="0" borderId="0" xfId="2" applyNumberForma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3" fillId="0" borderId="0" xfId="2" applyNumberFormat="1" applyFill="1"/>
    <xf numFmtId="0" fontId="6" fillId="0" borderId="0" xfId="0" applyFont="1"/>
    <xf numFmtId="0" fontId="0" fillId="5" borderId="4" xfId="0" applyFill="1" applyBorder="1"/>
    <xf numFmtId="0" fontId="0" fillId="5" borderId="6" xfId="0" applyFill="1" applyBorder="1"/>
    <xf numFmtId="0" fontId="0" fillId="6" borderId="9" xfId="0" applyFill="1" applyBorder="1"/>
  </cellXfs>
  <cellStyles count="5">
    <cellStyle name="Berekening" xfId="1" builtinId="22"/>
    <cellStyle name="Goed" xfId="2" builtinId="26"/>
    <cellStyle name="Neutraal" xfId="3" builtinId="28"/>
    <cellStyle name="Procent" xfId="4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nl-NL"/>
              <a:t>CO2 verloop
</a:t>
            </a:r>
          </a:p>
        </c:rich>
      </c:tx>
      <c:layout>
        <c:manualLayout>
          <c:xMode val="edge"/>
          <c:yMode val="edge"/>
          <c:x val="0.11632633420822397"/>
          <c:y val="3.19627424620702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94925634295711E-2"/>
          <c:y val="0.10328308046859996"/>
          <c:w val="0.8472869641294839"/>
          <c:h val="0.75381281608091677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</c:marker>
          <c:xVal>
            <c:numRef>
              <c:f>Grafisch!$D$24:$X$24</c:f>
              <c:numCache>
                <c:formatCode>0.00</c:formatCode>
                <c:ptCount val="2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Grafisch!$D$25:$X$25</c:f>
              <c:numCache>
                <c:formatCode>0</c:formatCode>
                <c:ptCount val="21"/>
                <c:pt idx="0">
                  <c:v>400.00000000000006</c:v>
                </c:pt>
                <c:pt idx="1">
                  <c:v>547.32009499555659</c:v>
                </c:pt>
                <c:pt idx="2">
                  <c:v>634.3534944647248</c:v>
                </c:pt>
                <c:pt idx="3">
                  <c:v>685.77086982949277</c:v>
                </c:pt>
                <c:pt idx="4">
                  <c:v>716.14709901881679</c:v>
                </c:pt>
                <c:pt idx="5">
                  <c:v>734.09269218097972</c:v>
                </c:pt>
                <c:pt idx="6">
                  <c:v>744.69454509480522</c:v>
                </c:pt>
                <c:pt idx="7">
                  <c:v>750.95788140198169</c:v>
                </c:pt>
                <c:pt idx="8">
                  <c:v>754.65811965426258</c:v>
                </c:pt>
                <c:pt idx="9">
                  <c:v>756.84413720978739</c:v>
                </c:pt>
                <c:pt idx="10">
                  <c:v>758.13558722658479</c:v>
                </c:pt>
                <c:pt idx="11">
                  <c:v>758.89854685683611</c:v>
                </c:pt>
                <c:pt idx="12">
                  <c:v>759.34928625040288</c:v>
                </c:pt>
                <c:pt idx="13">
                  <c:v>759.61557294875172</c:v>
                </c:pt>
                <c:pt idx="14">
                  <c:v>759.77288914238716</c:v>
                </c:pt>
                <c:pt idx="15">
                  <c:v>759.86582801215945</c:v>
                </c:pt>
                <c:pt idx="16">
                  <c:v>759.92073420658835</c:v>
                </c:pt>
                <c:pt idx="17">
                  <c:v>759.95317155163093</c:v>
                </c:pt>
                <c:pt idx="18">
                  <c:v>759.97233480569264</c:v>
                </c:pt>
                <c:pt idx="19">
                  <c:v>759.98365602528554</c:v>
                </c:pt>
                <c:pt idx="20">
                  <c:v>759.98365602528554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2-40ED-9F0C-3B624F25846F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</c:marker>
          <c:xVal>
            <c:numRef>
              <c:f>Grafisch!$D$24:$X$24</c:f>
              <c:numCache>
                <c:formatCode>0.00</c:formatCode>
                <c:ptCount val="2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Grafisch!$D$26:$X$26</c:f>
              <c:numCache>
                <c:formatCode>0</c:formatCode>
                <c:ptCount val="21"/>
                <c:pt idx="0">
                  <c:v>0</c:v>
                </c:pt>
                <c:pt idx="1">
                  <c:v>147.32009499555659</c:v>
                </c:pt>
                <c:pt idx="2">
                  <c:v>234.3534944647248</c:v>
                </c:pt>
                <c:pt idx="3">
                  <c:v>285.77086982949277</c:v>
                </c:pt>
                <c:pt idx="4">
                  <c:v>316.14709901881679</c:v>
                </c:pt>
                <c:pt idx="5">
                  <c:v>334.09269218097972</c:v>
                </c:pt>
                <c:pt idx="6">
                  <c:v>344.69454509480522</c:v>
                </c:pt>
                <c:pt idx="7">
                  <c:v>350.95788140198169</c:v>
                </c:pt>
                <c:pt idx="8">
                  <c:v>354.65811965426258</c:v>
                </c:pt>
                <c:pt idx="9">
                  <c:v>356.84413720978739</c:v>
                </c:pt>
                <c:pt idx="10">
                  <c:v>358.13558722658479</c:v>
                </c:pt>
                <c:pt idx="11">
                  <c:v>358.89854685683611</c:v>
                </c:pt>
                <c:pt idx="12">
                  <c:v>359.34928625040288</c:v>
                </c:pt>
                <c:pt idx="13">
                  <c:v>359.61557294875172</c:v>
                </c:pt>
                <c:pt idx="14">
                  <c:v>359.77288914238716</c:v>
                </c:pt>
                <c:pt idx="15">
                  <c:v>359.86582801215945</c:v>
                </c:pt>
                <c:pt idx="16">
                  <c:v>359.92073420658835</c:v>
                </c:pt>
                <c:pt idx="17">
                  <c:v>359.95317155163093</c:v>
                </c:pt>
                <c:pt idx="18">
                  <c:v>359.97233480569264</c:v>
                </c:pt>
                <c:pt idx="19">
                  <c:v>359.98365602528554</c:v>
                </c:pt>
                <c:pt idx="20">
                  <c:v>359.98365602528554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2-40ED-9F0C-3B624F25846F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Grafisch!$D$24:$X$24</c:f>
              <c:numCache>
                <c:formatCode>0.00</c:formatCode>
                <c:ptCount val="2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Grafisch!$D$25:$X$25</c:f>
              <c:numCache>
                <c:formatCode>0</c:formatCode>
                <c:ptCount val="21"/>
                <c:pt idx="0">
                  <c:v>400.00000000000006</c:v>
                </c:pt>
                <c:pt idx="1">
                  <c:v>547.32009499555659</c:v>
                </c:pt>
                <c:pt idx="2">
                  <c:v>634.3534944647248</c:v>
                </c:pt>
                <c:pt idx="3">
                  <c:v>685.77086982949277</c:v>
                </c:pt>
                <c:pt idx="4">
                  <c:v>716.14709901881679</c:v>
                </c:pt>
                <c:pt idx="5">
                  <c:v>734.09269218097972</c:v>
                </c:pt>
                <c:pt idx="6">
                  <c:v>744.69454509480522</c:v>
                </c:pt>
                <c:pt idx="7">
                  <c:v>750.95788140198169</c:v>
                </c:pt>
                <c:pt idx="8">
                  <c:v>754.65811965426258</c:v>
                </c:pt>
                <c:pt idx="9">
                  <c:v>756.84413720978739</c:v>
                </c:pt>
                <c:pt idx="10">
                  <c:v>758.13558722658479</c:v>
                </c:pt>
                <c:pt idx="11">
                  <c:v>758.89854685683611</c:v>
                </c:pt>
                <c:pt idx="12">
                  <c:v>759.34928625040288</c:v>
                </c:pt>
                <c:pt idx="13">
                  <c:v>759.61557294875172</c:v>
                </c:pt>
                <c:pt idx="14">
                  <c:v>759.77288914238716</c:v>
                </c:pt>
                <c:pt idx="15">
                  <c:v>759.86582801215945</c:v>
                </c:pt>
                <c:pt idx="16">
                  <c:v>759.92073420658835</c:v>
                </c:pt>
                <c:pt idx="17">
                  <c:v>759.95317155163093</c:v>
                </c:pt>
                <c:pt idx="18">
                  <c:v>759.97233480569264</c:v>
                </c:pt>
                <c:pt idx="19">
                  <c:v>759.98365602528554</c:v>
                </c:pt>
                <c:pt idx="20">
                  <c:v>759.98365602528554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2-40ED-9F0C-3B624F25846F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Grafisch!$D$24:$X$24</c:f>
              <c:numCache>
                <c:formatCode>0.00</c:formatCode>
                <c:ptCount val="2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Grafisch!$D$26:$X$26</c:f>
              <c:numCache>
                <c:formatCode>0</c:formatCode>
                <c:ptCount val="21"/>
                <c:pt idx="0">
                  <c:v>0</c:v>
                </c:pt>
                <c:pt idx="1">
                  <c:v>147.32009499555659</c:v>
                </c:pt>
                <c:pt idx="2">
                  <c:v>234.3534944647248</c:v>
                </c:pt>
                <c:pt idx="3">
                  <c:v>285.77086982949277</c:v>
                </c:pt>
                <c:pt idx="4">
                  <c:v>316.14709901881679</c:v>
                </c:pt>
                <c:pt idx="5">
                  <c:v>334.09269218097972</c:v>
                </c:pt>
                <c:pt idx="6">
                  <c:v>344.69454509480522</c:v>
                </c:pt>
                <c:pt idx="7">
                  <c:v>350.95788140198169</c:v>
                </c:pt>
                <c:pt idx="8">
                  <c:v>354.65811965426258</c:v>
                </c:pt>
                <c:pt idx="9">
                  <c:v>356.84413720978739</c:v>
                </c:pt>
                <c:pt idx="10">
                  <c:v>358.13558722658479</c:v>
                </c:pt>
                <c:pt idx="11">
                  <c:v>358.89854685683611</c:v>
                </c:pt>
                <c:pt idx="12">
                  <c:v>359.34928625040288</c:v>
                </c:pt>
                <c:pt idx="13">
                  <c:v>359.61557294875172</c:v>
                </c:pt>
                <c:pt idx="14">
                  <c:v>359.77288914238716</c:v>
                </c:pt>
                <c:pt idx="15">
                  <c:v>359.86582801215945</c:v>
                </c:pt>
                <c:pt idx="16">
                  <c:v>359.92073420658835</c:v>
                </c:pt>
                <c:pt idx="17">
                  <c:v>359.95317155163093</c:v>
                </c:pt>
                <c:pt idx="18">
                  <c:v>359.97233480569264</c:v>
                </c:pt>
                <c:pt idx="19">
                  <c:v>359.98365602528554</c:v>
                </c:pt>
                <c:pt idx="20">
                  <c:v>359.98365602528554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2-40ED-9F0C-3B624F25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53072"/>
        <c:axId val="1"/>
      </c:scatterChart>
      <c:valAx>
        <c:axId val="922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nl-NL"/>
                  <a:t>tijd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nl-NL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9225530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2184930008748905"/>
          <c:y val="4.7367646117406056E-2"/>
          <c:w val="0.35270078740157479"/>
          <c:h val="7.8535945201971699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20</xdr:row>
      <xdr:rowOff>133350</xdr:rowOff>
    </xdr:from>
    <xdr:to>
      <xdr:col>16</xdr:col>
      <xdr:colOff>333375</xdr:colOff>
      <xdr:row>29</xdr:row>
      <xdr:rowOff>114300</xdr:rowOff>
    </xdr:to>
    <xdr:pic>
      <xdr:nvPicPr>
        <xdr:cNvPr id="1817" name="Afbeelding 1">
          <a:extLst>
            <a:ext uri="{FF2B5EF4-FFF2-40B4-BE49-F238E27FC236}">
              <a16:creationId xmlns:a16="http://schemas.microsoft.com/office/drawing/2014/main" id="{9EB7B456-AB5B-AC4D-9C03-80DACA55B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48125"/>
          <a:ext cx="5172075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29</xdr:row>
      <xdr:rowOff>66675</xdr:rowOff>
    </xdr:from>
    <xdr:to>
      <xdr:col>16</xdr:col>
      <xdr:colOff>161925</xdr:colOff>
      <xdr:row>44</xdr:row>
      <xdr:rowOff>180975</xdr:rowOff>
    </xdr:to>
    <xdr:pic>
      <xdr:nvPicPr>
        <xdr:cNvPr id="1818" name="Afbeelding 2">
          <a:extLst>
            <a:ext uri="{FF2B5EF4-FFF2-40B4-BE49-F238E27FC236}">
              <a16:creationId xmlns:a16="http://schemas.microsoft.com/office/drawing/2014/main" id="{A60FFF5A-CFBD-57F3-0EDD-31FF27C6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705475"/>
          <a:ext cx="512445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495300</xdr:colOff>
      <xdr:row>0</xdr:row>
      <xdr:rowOff>0</xdr:rowOff>
    </xdr:from>
    <xdr:to>
      <xdr:col>15</xdr:col>
      <xdr:colOff>485775</xdr:colOff>
      <xdr:row>15</xdr:row>
      <xdr:rowOff>85725</xdr:rowOff>
    </xdr:to>
    <xdr:pic>
      <xdr:nvPicPr>
        <xdr:cNvPr id="1819" name="Afbeelding 3">
          <a:extLst>
            <a:ext uri="{FF2B5EF4-FFF2-40B4-BE49-F238E27FC236}">
              <a16:creationId xmlns:a16="http://schemas.microsoft.com/office/drawing/2014/main" id="{EBEE2C64-0E75-DB98-27CE-796EDB9C3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48672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171450</xdr:colOff>
      <xdr:row>3</xdr:row>
      <xdr:rowOff>142875</xdr:rowOff>
    </xdr:from>
    <xdr:to>
      <xdr:col>7</xdr:col>
      <xdr:colOff>361950</xdr:colOff>
      <xdr:row>7</xdr:row>
      <xdr:rowOff>95250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B7947C36-E80D-884C-420F-F271D868C35A}"/>
            </a:ext>
          </a:extLst>
        </xdr:cNvPr>
        <xdr:cNvCxnSpPr/>
      </xdr:nvCxnSpPr>
      <xdr:spPr>
        <a:xfrm flipV="1">
          <a:off x="3648075" y="762000"/>
          <a:ext cx="2819400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402981</xdr:colOff>
      <xdr:row>20</xdr:row>
      <xdr:rowOff>158750</xdr:rowOff>
    </xdr:from>
    <xdr:to>
      <xdr:col>8</xdr:col>
      <xdr:colOff>12211</xdr:colOff>
      <xdr:row>23</xdr:row>
      <xdr:rowOff>73270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FDF1AE02-B287-DD4D-02E5-DD7A5A9AF5FB}"/>
            </a:ext>
          </a:extLst>
        </xdr:cNvPr>
        <xdr:cNvCxnSpPr/>
      </xdr:nvCxnSpPr>
      <xdr:spPr>
        <a:xfrm>
          <a:off x="3883269" y="4115288"/>
          <a:ext cx="2857500" cy="500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552450</xdr:colOff>
      <xdr:row>6</xdr:row>
      <xdr:rowOff>57150</xdr:rowOff>
    </xdr:to>
    <xdr:pic>
      <xdr:nvPicPr>
        <xdr:cNvPr id="1822" name="Afbeelding 8">
          <a:extLst>
            <a:ext uri="{FF2B5EF4-FFF2-40B4-BE49-F238E27FC236}">
              <a16:creationId xmlns:a16="http://schemas.microsoft.com/office/drawing/2014/main" id="{D75D5D1C-9AFB-9224-613E-D55D7A188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190500"/>
          <a:ext cx="54292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26</xdr:col>
      <xdr:colOff>152400</xdr:colOff>
      <xdr:row>16</xdr:row>
      <xdr:rowOff>57150</xdr:rowOff>
    </xdr:to>
    <xdr:pic>
      <xdr:nvPicPr>
        <xdr:cNvPr id="1823" name="Afbeelding 9">
          <a:extLst>
            <a:ext uri="{FF2B5EF4-FFF2-40B4-BE49-F238E27FC236}">
              <a16:creationId xmlns:a16="http://schemas.microsoft.com/office/drawing/2014/main" id="{E16DFDC8-740F-6C80-BDAE-718519743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1409700"/>
          <a:ext cx="563880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47625</xdr:colOff>
      <xdr:row>17</xdr:row>
      <xdr:rowOff>180975</xdr:rowOff>
    </xdr:from>
    <xdr:to>
      <xdr:col>26</xdr:col>
      <xdr:colOff>161925</xdr:colOff>
      <xdr:row>25</xdr:row>
      <xdr:rowOff>104775</xdr:rowOff>
    </xdr:to>
    <xdr:pic>
      <xdr:nvPicPr>
        <xdr:cNvPr id="1824" name="Afbeelding 10">
          <a:extLst>
            <a:ext uri="{FF2B5EF4-FFF2-40B4-BE49-F238E27FC236}">
              <a16:creationId xmlns:a16="http://schemas.microsoft.com/office/drawing/2014/main" id="{3EC64FA8-9DC1-D3E5-3444-C6EE2EF7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514725"/>
          <a:ext cx="560070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24</xdr:col>
      <xdr:colOff>381000</xdr:colOff>
      <xdr:row>44</xdr:row>
      <xdr:rowOff>133350</xdr:rowOff>
    </xdr:to>
    <xdr:pic>
      <xdr:nvPicPr>
        <xdr:cNvPr id="1825" name="Afbeelding 12">
          <a:extLst>
            <a:ext uri="{FF2B5EF4-FFF2-40B4-BE49-F238E27FC236}">
              <a16:creationId xmlns:a16="http://schemas.microsoft.com/office/drawing/2014/main" id="{1F69F58B-6BB5-ACEA-0ECD-7FD541603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257800"/>
          <a:ext cx="4648200" cy="337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195385</xdr:colOff>
      <xdr:row>7</xdr:row>
      <xdr:rowOff>183174</xdr:rowOff>
    </xdr:from>
    <xdr:to>
      <xdr:col>7</xdr:col>
      <xdr:colOff>386618</xdr:colOff>
      <xdr:row>16</xdr:row>
      <xdr:rowOff>116986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CDEEE715-269C-B6D1-EDDE-47CE3D24C9EA}"/>
            </a:ext>
          </a:extLst>
        </xdr:cNvPr>
        <xdr:cNvCxnSpPr/>
      </xdr:nvCxnSpPr>
      <xdr:spPr>
        <a:xfrm>
          <a:off x="3675673" y="1599712"/>
          <a:ext cx="2828926" cy="1692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0</xdr:colOff>
      <xdr:row>29</xdr:row>
      <xdr:rowOff>0</xdr:rowOff>
    </xdr:from>
    <xdr:to>
      <xdr:col>35</xdr:col>
      <xdr:colOff>447675</xdr:colOff>
      <xdr:row>45</xdr:row>
      <xdr:rowOff>95250</xdr:rowOff>
    </xdr:to>
    <xdr:pic>
      <xdr:nvPicPr>
        <xdr:cNvPr id="1827" name="Afbeelding 5">
          <a:extLst>
            <a:ext uri="{FF2B5EF4-FFF2-40B4-BE49-F238E27FC236}">
              <a16:creationId xmlns:a16="http://schemas.microsoft.com/office/drawing/2014/main" id="{33BB804D-34A2-F388-7A92-7205BC092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7525" y="5638800"/>
          <a:ext cx="5324475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171450</xdr:rowOff>
    </xdr:from>
    <xdr:to>
      <xdr:col>12</xdr:col>
      <xdr:colOff>600075</xdr:colOff>
      <xdr:row>103</xdr:row>
      <xdr:rowOff>9525</xdr:rowOff>
    </xdr:to>
    <xdr:pic>
      <xdr:nvPicPr>
        <xdr:cNvPr id="1828" name="Afbeelding 12" descr="https://upload.wikimedia.org/wikipedia/commons/thumb/c/c5/Mauna_Loa_CO2_monthly_mean_concentration.svg/1024px-Mauna_Loa_CO2_monthly_mean_concentration.svg.png">
          <a:extLst>
            <a:ext uri="{FF2B5EF4-FFF2-40B4-BE49-F238E27FC236}">
              <a16:creationId xmlns:a16="http://schemas.microsoft.com/office/drawing/2014/main" id="{CD8EBD40-760F-627E-4D3F-2C078E2D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0"/>
          <a:ext cx="9753600" cy="974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56</xdr:row>
      <xdr:rowOff>161925</xdr:rowOff>
    </xdr:from>
    <xdr:to>
      <xdr:col>34</xdr:col>
      <xdr:colOff>342900</xdr:colOff>
      <xdr:row>96</xdr:row>
      <xdr:rowOff>47625</xdr:rowOff>
    </xdr:to>
    <xdr:pic>
      <xdr:nvPicPr>
        <xdr:cNvPr id="1829" name="Afbeelding 1">
          <a:extLst>
            <a:ext uri="{FF2B5EF4-FFF2-40B4-BE49-F238E27FC236}">
              <a16:creationId xmlns:a16="http://schemas.microsoft.com/office/drawing/2014/main" id="{C2BD1F6E-3A40-9E34-12E9-5F384511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10944225"/>
          <a:ext cx="12611100" cy="750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99</xdr:row>
      <xdr:rowOff>0</xdr:rowOff>
    </xdr:from>
    <xdr:to>
      <xdr:col>24</xdr:col>
      <xdr:colOff>438150</xdr:colOff>
      <xdr:row>115</xdr:row>
      <xdr:rowOff>161925</xdr:rowOff>
    </xdr:to>
    <xdr:pic>
      <xdr:nvPicPr>
        <xdr:cNvPr id="1830" name="Afbeelding 1">
          <a:extLst>
            <a:ext uri="{FF2B5EF4-FFF2-40B4-BE49-F238E27FC236}">
              <a16:creationId xmlns:a16="http://schemas.microsoft.com/office/drawing/2014/main" id="{F7DB00BC-669F-9074-4F17-7644EAC6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973800"/>
          <a:ext cx="5924550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85725</xdr:colOff>
      <xdr:row>98</xdr:row>
      <xdr:rowOff>0</xdr:rowOff>
    </xdr:from>
    <xdr:to>
      <xdr:col>34</xdr:col>
      <xdr:colOff>466725</xdr:colOff>
      <xdr:row>116</xdr:row>
      <xdr:rowOff>95250</xdr:rowOff>
    </xdr:to>
    <xdr:pic>
      <xdr:nvPicPr>
        <xdr:cNvPr id="1831" name="Afbeelding 7">
          <a:extLst>
            <a:ext uri="{FF2B5EF4-FFF2-40B4-BE49-F238E27FC236}">
              <a16:creationId xmlns:a16="http://schemas.microsoft.com/office/drawing/2014/main" id="{A54226F1-F6DE-61CF-87F6-B3B02E17A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8783300"/>
          <a:ext cx="5867400" cy="352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118</xdr:row>
      <xdr:rowOff>0</xdr:rowOff>
    </xdr:from>
    <xdr:to>
      <xdr:col>25</xdr:col>
      <xdr:colOff>390525</xdr:colOff>
      <xdr:row>121</xdr:row>
      <xdr:rowOff>180975</xdr:rowOff>
    </xdr:to>
    <xdr:pic>
      <xdr:nvPicPr>
        <xdr:cNvPr id="1832" name="Afbeelding 9">
          <a:extLst>
            <a:ext uri="{FF2B5EF4-FFF2-40B4-BE49-F238E27FC236}">
              <a16:creationId xmlns:a16="http://schemas.microsoft.com/office/drawing/2014/main" id="{D2C45BB8-4BFF-477A-2EB7-D1F145E3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22593300"/>
          <a:ext cx="58769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124</xdr:row>
      <xdr:rowOff>0</xdr:rowOff>
    </xdr:from>
    <xdr:to>
      <xdr:col>25</xdr:col>
      <xdr:colOff>523875</xdr:colOff>
      <xdr:row>151</xdr:row>
      <xdr:rowOff>152400</xdr:rowOff>
    </xdr:to>
    <xdr:pic>
      <xdr:nvPicPr>
        <xdr:cNvPr id="1833" name="Afbeelding 1">
          <a:extLst>
            <a:ext uri="{FF2B5EF4-FFF2-40B4-BE49-F238E27FC236}">
              <a16:creationId xmlns:a16="http://schemas.microsoft.com/office/drawing/2014/main" id="{22B66A5B-6754-88C8-FB19-5C2F6E89E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736300"/>
          <a:ext cx="6619875" cy="529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142875</xdr:rowOff>
    </xdr:from>
    <xdr:to>
      <xdr:col>12</xdr:col>
      <xdr:colOff>333375</xdr:colOff>
      <xdr:row>19</xdr:row>
      <xdr:rowOff>28575</xdr:rowOff>
    </xdr:to>
    <xdr:graphicFrame macro="">
      <xdr:nvGraphicFramePr>
        <xdr:cNvPr id="3164" name="Grafiek 1">
          <a:extLst>
            <a:ext uri="{FF2B5EF4-FFF2-40B4-BE49-F238E27FC236}">
              <a16:creationId xmlns:a16="http://schemas.microsoft.com/office/drawing/2014/main" id="{C83BE4C6-D9D0-CB78-5791-11C14924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11</xdr:col>
      <xdr:colOff>95250</xdr:colOff>
      <xdr:row>42</xdr:row>
      <xdr:rowOff>9525</xdr:rowOff>
    </xdr:to>
    <xdr:pic>
      <xdr:nvPicPr>
        <xdr:cNvPr id="2247" name="Afbeelding 8">
          <a:extLst>
            <a:ext uri="{FF2B5EF4-FFF2-40B4-BE49-F238E27FC236}">
              <a16:creationId xmlns:a16="http://schemas.microsoft.com/office/drawing/2014/main" id="{C52AD757-DFC2-389D-FDAA-C9F57A3D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800850" cy="794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11</xdr:col>
      <xdr:colOff>104775</xdr:colOff>
      <xdr:row>80</xdr:row>
      <xdr:rowOff>123825</xdr:rowOff>
    </xdr:to>
    <xdr:pic>
      <xdr:nvPicPr>
        <xdr:cNvPr id="2248" name="Afbeelding 9">
          <a:extLst>
            <a:ext uri="{FF2B5EF4-FFF2-40B4-BE49-F238E27FC236}">
              <a16:creationId xmlns:a16="http://schemas.microsoft.com/office/drawing/2014/main" id="{C7214D0E-2335-573C-CF2E-0941338DD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"/>
          <a:ext cx="6810375" cy="730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80</xdr:row>
      <xdr:rowOff>142875</xdr:rowOff>
    </xdr:from>
    <xdr:to>
      <xdr:col>7</xdr:col>
      <xdr:colOff>333375</xdr:colOff>
      <xdr:row>86</xdr:row>
      <xdr:rowOff>123825</xdr:rowOff>
    </xdr:to>
    <xdr:pic>
      <xdr:nvPicPr>
        <xdr:cNvPr id="2249" name="Afbeelding 10">
          <a:extLst>
            <a:ext uri="{FF2B5EF4-FFF2-40B4-BE49-F238E27FC236}">
              <a16:creationId xmlns:a16="http://schemas.microsoft.com/office/drawing/2014/main" id="{B0985F41-37DA-0CC0-1B50-197AA628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382875"/>
          <a:ext cx="45720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18</xdr:col>
      <xdr:colOff>600075</xdr:colOff>
      <xdr:row>41</xdr:row>
      <xdr:rowOff>9525</xdr:rowOff>
    </xdr:to>
    <xdr:pic>
      <xdr:nvPicPr>
        <xdr:cNvPr id="27690" name="Afbeelding 2">
          <a:extLst>
            <a:ext uri="{FF2B5EF4-FFF2-40B4-BE49-F238E27FC236}">
              <a16:creationId xmlns:a16="http://schemas.microsoft.com/office/drawing/2014/main" id="{27F790EC-FA95-2D94-34EB-03E81468A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3429000"/>
          <a:ext cx="10353675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86B8-FF23-458F-AD53-E21A7E4CB523}">
  <dimension ref="A2:AB123"/>
  <sheetViews>
    <sheetView zoomScale="78" zoomScaleNormal="78" workbookViewId="0">
      <selection activeCell="C7" sqref="C7"/>
    </sheetView>
  </sheetViews>
  <sheetFormatPr defaultRowHeight="15" x14ac:dyDescent="0.25"/>
  <cols>
    <col min="1" max="1" width="30" bestFit="1" customWidth="1"/>
    <col min="2" max="2" width="10.140625" bestFit="1" customWidth="1"/>
    <col min="3" max="3" width="12" bestFit="1" customWidth="1"/>
    <col min="5" max="5" width="12" bestFit="1" customWidth="1"/>
  </cols>
  <sheetData>
    <row r="2" spans="1:6" ht="19.5" thickBot="1" x14ac:dyDescent="0.35">
      <c r="A2" s="4" t="s">
        <v>10</v>
      </c>
    </row>
    <row r="3" spans="1:6" x14ac:dyDescent="0.25">
      <c r="A3" s="2" t="s">
        <v>63</v>
      </c>
      <c r="E3" s="19" t="s">
        <v>85</v>
      </c>
      <c r="F3" s="30">
        <v>2.5</v>
      </c>
    </row>
    <row r="4" spans="1:6" x14ac:dyDescent="0.25">
      <c r="E4" s="22" t="s">
        <v>83</v>
      </c>
      <c r="F4" s="31">
        <v>2.7</v>
      </c>
    </row>
    <row r="5" spans="1:6" ht="15.75" thickBot="1" x14ac:dyDescent="0.3">
      <c r="E5" s="25" t="s">
        <v>84</v>
      </c>
      <c r="F5" s="32">
        <f>F3*F4*C9</f>
        <v>67.5</v>
      </c>
    </row>
    <row r="6" spans="1:6" x14ac:dyDescent="0.25">
      <c r="A6" t="s">
        <v>0</v>
      </c>
      <c r="B6" t="s">
        <v>1</v>
      </c>
      <c r="C6" s="1">
        <v>50</v>
      </c>
      <c r="D6" t="s">
        <v>11</v>
      </c>
    </row>
    <row r="7" spans="1:6" ht="15.75" thickBot="1" x14ac:dyDescent="0.3">
      <c r="A7" t="s">
        <v>2</v>
      </c>
      <c r="B7" t="s">
        <v>16</v>
      </c>
      <c r="C7" s="1">
        <v>50</v>
      </c>
    </row>
    <row r="8" spans="1:6" ht="15.75" thickBot="1" x14ac:dyDescent="0.3">
      <c r="A8" t="s">
        <v>4</v>
      </c>
      <c r="B8" t="s">
        <v>74</v>
      </c>
      <c r="C8" s="13">
        <v>18</v>
      </c>
    </row>
    <row r="9" spans="1:6" x14ac:dyDescent="0.25">
      <c r="A9" t="s">
        <v>14</v>
      </c>
      <c r="C9" s="1">
        <v>10</v>
      </c>
      <c r="D9" t="s">
        <v>15</v>
      </c>
    </row>
    <row r="10" spans="1:6" x14ac:dyDescent="0.25">
      <c r="A10" t="s">
        <v>31</v>
      </c>
      <c r="B10" t="s">
        <v>28</v>
      </c>
      <c r="C10" s="5">
        <v>1</v>
      </c>
    </row>
    <row r="11" spans="1:6" x14ac:dyDescent="0.25">
      <c r="A11" t="s">
        <v>18</v>
      </c>
      <c r="B11" t="s">
        <v>8</v>
      </c>
      <c r="C11" s="1">
        <v>400</v>
      </c>
      <c r="D11" t="s">
        <v>21</v>
      </c>
    </row>
    <row r="12" spans="1:6" x14ac:dyDescent="0.25">
      <c r="A12" t="s">
        <v>5</v>
      </c>
      <c r="B12" t="s">
        <v>8</v>
      </c>
      <c r="C12" s="1">
        <v>400</v>
      </c>
      <c r="D12" t="s">
        <v>13</v>
      </c>
    </row>
    <row r="13" spans="1:6" x14ac:dyDescent="0.25">
      <c r="A13" t="s">
        <v>6</v>
      </c>
      <c r="B13" t="s">
        <v>29</v>
      </c>
      <c r="C13" s="1">
        <v>1</v>
      </c>
    </row>
    <row r="14" spans="1:6" x14ac:dyDescent="0.25">
      <c r="A14" t="s">
        <v>6</v>
      </c>
      <c r="B14" t="s">
        <v>7</v>
      </c>
      <c r="C14" s="3">
        <f>C13*3600</f>
        <v>3600</v>
      </c>
      <c r="D14" t="s">
        <v>12</v>
      </c>
    </row>
    <row r="15" spans="1:6" x14ac:dyDescent="0.25">
      <c r="A15" t="s">
        <v>4</v>
      </c>
      <c r="B15" t="s">
        <v>3</v>
      </c>
      <c r="C15" s="6">
        <f>C8/1000/3600</f>
        <v>4.9999999999999996E-6</v>
      </c>
      <c r="E15">
        <f>0.01/3600</f>
        <v>2.7777777777777779E-6</v>
      </c>
    </row>
    <row r="16" spans="1:6" x14ac:dyDescent="0.25">
      <c r="A16" t="s">
        <v>18</v>
      </c>
      <c r="B16" t="s">
        <v>24</v>
      </c>
      <c r="C16" s="3">
        <f>C11/1000000</f>
        <v>4.0000000000000002E-4</v>
      </c>
      <c r="D16" t="s">
        <v>21</v>
      </c>
    </row>
    <row r="17" spans="1:28" ht="15.75" thickBot="1" x14ac:dyDescent="0.3">
      <c r="A17" t="s">
        <v>5</v>
      </c>
      <c r="B17" t="s">
        <v>24</v>
      </c>
      <c r="C17" s="3">
        <f>C12/1000000</f>
        <v>4.0000000000000002E-4</v>
      </c>
      <c r="D17" t="s">
        <v>13</v>
      </c>
      <c r="I17" s="10" t="s">
        <v>34</v>
      </c>
      <c r="K17" t="s">
        <v>37</v>
      </c>
      <c r="M17" t="s">
        <v>38</v>
      </c>
      <c r="N17" t="s">
        <v>43</v>
      </c>
      <c r="O17" t="s">
        <v>38</v>
      </c>
      <c r="P17" t="s">
        <v>39</v>
      </c>
    </row>
    <row r="18" spans="1:28" x14ac:dyDescent="0.25">
      <c r="A18" t="s">
        <v>17</v>
      </c>
      <c r="B18" t="s">
        <v>3</v>
      </c>
      <c r="C18" s="7">
        <f>C7*C9/3600</f>
        <v>0.1388888888888889</v>
      </c>
      <c r="D18" t="s">
        <v>22</v>
      </c>
      <c r="I18" t="s">
        <v>33</v>
      </c>
      <c r="K18">
        <v>1.7000000000000001E-2</v>
      </c>
      <c r="N18" s="19">
        <v>800</v>
      </c>
      <c r="O18" s="20">
        <v>42.3</v>
      </c>
      <c r="P18" s="21" t="s">
        <v>40</v>
      </c>
    </row>
    <row r="19" spans="1:28" x14ac:dyDescent="0.25">
      <c r="A19" t="s">
        <v>19</v>
      </c>
      <c r="B19" t="s">
        <v>3</v>
      </c>
      <c r="C19" s="6">
        <f>C15*C9*C10</f>
        <v>4.9999999999999996E-5</v>
      </c>
      <c r="D19" t="s">
        <v>20</v>
      </c>
      <c r="I19" t="s">
        <v>35</v>
      </c>
      <c r="K19">
        <v>1.9E-2</v>
      </c>
      <c r="N19" s="22">
        <v>950</v>
      </c>
      <c r="O19" s="23">
        <v>30.6</v>
      </c>
      <c r="P19" s="24" t="s">
        <v>41</v>
      </c>
    </row>
    <row r="20" spans="1:28" ht="15.75" thickBot="1" x14ac:dyDescent="0.3">
      <c r="I20" t="s">
        <v>36</v>
      </c>
      <c r="K20">
        <v>1.4E-2</v>
      </c>
      <c r="N20" s="25">
        <v>1200</v>
      </c>
      <c r="O20" s="26">
        <v>21.6</v>
      </c>
      <c r="P20" s="27" t="s">
        <v>42</v>
      </c>
    </row>
    <row r="21" spans="1:28" ht="15.75" x14ac:dyDescent="0.25">
      <c r="A21" t="s">
        <v>9</v>
      </c>
      <c r="B21" t="s">
        <v>8</v>
      </c>
      <c r="C21" s="8">
        <f>$C$19*10^6/$C$18+$C$11-($C$19*10^6/$C$18-$C$12+$C$11)*EXP(-$C$18/$C$6*C14)</f>
        <v>759.98365602528554</v>
      </c>
      <c r="D21" t="s">
        <v>25</v>
      </c>
      <c r="E21" s="12" t="s">
        <v>62</v>
      </c>
    </row>
    <row r="22" spans="1:28" x14ac:dyDescent="0.25">
      <c r="A22" t="s">
        <v>26</v>
      </c>
      <c r="B22" t="s">
        <v>8</v>
      </c>
      <c r="C22" s="8">
        <f>C21-C12</f>
        <v>359.98365602528554</v>
      </c>
      <c r="D22" t="s">
        <v>27</v>
      </c>
    </row>
    <row r="24" spans="1:28" x14ac:dyDescent="0.25">
      <c r="E24" t="s">
        <v>30</v>
      </c>
    </row>
    <row r="25" spans="1:28" x14ac:dyDescent="0.25">
      <c r="E25" t="s">
        <v>23</v>
      </c>
    </row>
    <row r="28" spans="1:28" x14ac:dyDescent="0.25">
      <c r="AB28" t="s">
        <v>75</v>
      </c>
    </row>
    <row r="46" spans="18:18" x14ac:dyDescent="0.25">
      <c r="R46" t="s">
        <v>32</v>
      </c>
    </row>
    <row r="49" spans="17:18" x14ac:dyDescent="0.25">
      <c r="Q49" s="11">
        <v>5</v>
      </c>
      <c r="R49" t="s">
        <v>76</v>
      </c>
    </row>
    <row r="51" spans="17:18" x14ac:dyDescent="0.25">
      <c r="Q51">
        <f>Q52/3600</f>
        <v>5.0000000000000001E-3</v>
      </c>
      <c r="R51" t="s">
        <v>80</v>
      </c>
    </row>
    <row r="52" spans="17:18" x14ac:dyDescent="0.25">
      <c r="Q52" s="3">
        <f>Q49/1000*3600</f>
        <v>18</v>
      </c>
      <c r="R52" t="s">
        <v>74</v>
      </c>
    </row>
    <row r="53" spans="17:18" x14ac:dyDescent="0.25">
      <c r="Q53" s="3">
        <f>Q52/1000</f>
        <v>1.7999999999999999E-2</v>
      </c>
      <c r="R53" t="s">
        <v>16</v>
      </c>
    </row>
    <row r="118" spans="16:16" x14ac:dyDescent="0.25">
      <c r="P118" t="s">
        <v>81</v>
      </c>
    </row>
    <row r="123" spans="16:16" x14ac:dyDescent="0.25">
      <c r="P123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D5C7-6D57-45EC-9589-FDFBC1379A46}">
  <dimension ref="A6:X26"/>
  <sheetViews>
    <sheetView workbookViewId="0">
      <selection activeCell="D5" sqref="D5"/>
    </sheetView>
  </sheetViews>
  <sheetFormatPr defaultRowHeight="15" x14ac:dyDescent="0.25"/>
  <cols>
    <col min="1" max="1" width="23.85546875" bestFit="1" customWidth="1"/>
  </cols>
  <sheetData>
    <row r="6" spans="1:4" x14ac:dyDescent="0.25">
      <c r="A6" t="s">
        <v>0</v>
      </c>
      <c r="B6" t="s">
        <v>11</v>
      </c>
      <c r="C6" t="s">
        <v>1</v>
      </c>
      <c r="D6" s="9">
        <f>'CO2 belasting'!C6</f>
        <v>50</v>
      </c>
    </row>
    <row r="7" spans="1:4" x14ac:dyDescent="0.25">
      <c r="A7" t="s">
        <v>2</v>
      </c>
      <c r="C7" t="s">
        <v>16</v>
      </c>
      <c r="D7" s="9">
        <v>50</v>
      </c>
    </row>
    <row r="8" spans="1:4" x14ac:dyDescent="0.25">
      <c r="A8" t="s">
        <v>4</v>
      </c>
      <c r="C8" t="s">
        <v>74</v>
      </c>
      <c r="D8" s="9">
        <f>'CO2 belasting'!C8</f>
        <v>18</v>
      </c>
    </row>
    <row r="9" spans="1:4" x14ac:dyDescent="0.25">
      <c r="A9" t="s">
        <v>14</v>
      </c>
      <c r="B9" t="s">
        <v>15</v>
      </c>
      <c r="D9" s="9">
        <f>'CO2 belasting'!C9</f>
        <v>10</v>
      </c>
    </row>
    <row r="10" spans="1:4" x14ac:dyDescent="0.25">
      <c r="A10" t="s">
        <v>31</v>
      </c>
      <c r="C10" t="s">
        <v>28</v>
      </c>
      <c r="D10" s="9">
        <f>'CO2 belasting'!C10</f>
        <v>1</v>
      </c>
    </row>
    <row r="11" spans="1:4" x14ac:dyDescent="0.25">
      <c r="A11" t="s">
        <v>18</v>
      </c>
      <c r="B11" t="s">
        <v>21</v>
      </c>
      <c r="C11" t="s">
        <v>8</v>
      </c>
      <c r="D11" s="9">
        <f>'CO2 belasting'!C11</f>
        <v>400</v>
      </c>
    </row>
    <row r="12" spans="1:4" x14ac:dyDescent="0.25">
      <c r="A12" t="s">
        <v>5</v>
      </c>
      <c r="B12" t="s">
        <v>13</v>
      </c>
      <c r="C12" t="s">
        <v>8</v>
      </c>
      <c r="D12" s="9">
        <f>'CO2 belasting'!C12</f>
        <v>400</v>
      </c>
    </row>
    <row r="13" spans="1:4" x14ac:dyDescent="0.25">
      <c r="A13" t="s">
        <v>4</v>
      </c>
      <c r="C13" t="s">
        <v>3</v>
      </c>
      <c r="D13" s="6">
        <f>D8/1000/3600</f>
        <v>4.9999999999999996E-6</v>
      </c>
    </row>
    <row r="14" spans="1:4" x14ac:dyDescent="0.25">
      <c r="A14" t="s">
        <v>18</v>
      </c>
      <c r="B14" t="s">
        <v>21</v>
      </c>
      <c r="C14" t="s">
        <v>24</v>
      </c>
      <c r="D14" s="3">
        <f>D11/1000000</f>
        <v>4.0000000000000002E-4</v>
      </c>
    </row>
    <row r="15" spans="1:4" x14ac:dyDescent="0.25">
      <c r="A15" t="s">
        <v>5</v>
      </c>
      <c r="B15" t="s">
        <v>13</v>
      </c>
      <c r="C15" t="s">
        <v>24</v>
      </c>
      <c r="D15" s="3">
        <f>D12/1000000</f>
        <v>4.0000000000000002E-4</v>
      </c>
    </row>
    <row r="16" spans="1:4" x14ac:dyDescent="0.25">
      <c r="A16" t="s">
        <v>17</v>
      </c>
      <c r="B16" t="s">
        <v>22</v>
      </c>
      <c r="C16" t="s">
        <v>3</v>
      </c>
      <c r="D16" s="7">
        <f>D7*D9/3600</f>
        <v>0.1388888888888889</v>
      </c>
    </row>
    <row r="17" spans="1:24" x14ac:dyDescent="0.25">
      <c r="A17" t="s">
        <v>19</v>
      </c>
      <c r="B17" t="s">
        <v>20</v>
      </c>
      <c r="C17" t="s">
        <v>3</v>
      </c>
      <c r="D17" s="6">
        <f>D13*D9*D10</f>
        <v>4.9999999999999996E-5</v>
      </c>
    </row>
    <row r="18" spans="1:24" x14ac:dyDescent="0.25">
      <c r="D18" s="14"/>
    </row>
    <row r="19" spans="1:24" x14ac:dyDescent="0.25">
      <c r="B19" t="s">
        <v>73</v>
      </c>
      <c r="C19" t="s">
        <v>29</v>
      </c>
      <c r="D19" s="28">
        <f>'CO2 belasting'!C13</f>
        <v>1</v>
      </c>
    </row>
    <row r="20" spans="1:24" x14ac:dyDescent="0.25">
      <c r="D20" s="14"/>
    </row>
    <row r="21" spans="1:24" x14ac:dyDescent="0.25">
      <c r="D21" s="14"/>
    </row>
    <row r="22" spans="1:24" x14ac:dyDescent="0.25">
      <c r="D22" s="17">
        <v>0</v>
      </c>
      <c r="E22">
        <v>1</v>
      </c>
      <c r="F22" s="17">
        <v>2</v>
      </c>
      <c r="G22">
        <v>3</v>
      </c>
      <c r="H22" s="17">
        <v>4</v>
      </c>
      <c r="I22">
        <v>5</v>
      </c>
      <c r="J22" s="17">
        <v>6</v>
      </c>
      <c r="K22">
        <v>7</v>
      </c>
      <c r="L22" s="17">
        <v>8</v>
      </c>
      <c r="M22">
        <v>9</v>
      </c>
      <c r="N22" s="17">
        <v>10</v>
      </c>
      <c r="O22">
        <v>11</v>
      </c>
      <c r="P22" s="17">
        <v>12</v>
      </c>
      <c r="Q22">
        <v>13</v>
      </c>
      <c r="R22" s="17">
        <v>14</v>
      </c>
      <c r="S22">
        <v>15</v>
      </c>
      <c r="T22" s="17">
        <v>16</v>
      </c>
      <c r="U22">
        <v>17</v>
      </c>
      <c r="V22" s="17">
        <v>18</v>
      </c>
      <c r="W22">
        <v>19</v>
      </c>
      <c r="X22" s="17">
        <v>20</v>
      </c>
    </row>
    <row r="23" spans="1:24" x14ac:dyDescent="0.25">
      <c r="A23" t="s">
        <v>6</v>
      </c>
      <c r="B23" t="s">
        <v>12</v>
      </c>
      <c r="C23" t="s">
        <v>7</v>
      </c>
      <c r="D23" s="3">
        <f t="shared" ref="D23:W23" si="0">D24*3600</f>
        <v>0</v>
      </c>
      <c r="E23" s="3">
        <f t="shared" si="0"/>
        <v>189.4736842105263</v>
      </c>
      <c r="F23" s="3">
        <f t="shared" si="0"/>
        <v>378.9473684210526</v>
      </c>
      <c r="G23" s="3">
        <f t="shared" si="0"/>
        <v>568.42105263157896</v>
      </c>
      <c r="H23" s="3">
        <f t="shared" si="0"/>
        <v>757.8947368421052</v>
      </c>
      <c r="I23" s="3">
        <f t="shared" si="0"/>
        <v>947.36842105263156</v>
      </c>
      <c r="J23" s="3">
        <f t="shared" si="0"/>
        <v>1136.8421052631579</v>
      </c>
      <c r="K23" s="3">
        <f t="shared" si="0"/>
        <v>1326.3157894736842</v>
      </c>
      <c r="L23" s="3">
        <f t="shared" si="0"/>
        <v>1515.7894736842104</v>
      </c>
      <c r="M23" s="3">
        <f t="shared" si="0"/>
        <v>1705.2631578947367</v>
      </c>
      <c r="N23" s="3">
        <f t="shared" si="0"/>
        <v>1894.7368421052631</v>
      </c>
      <c r="O23" s="3">
        <f t="shared" si="0"/>
        <v>2084.2105263157896</v>
      </c>
      <c r="P23" s="3">
        <f t="shared" si="0"/>
        <v>2273.6842105263158</v>
      </c>
      <c r="Q23" s="3">
        <f t="shared" si="0"/>
        <v>2463.1578947368421</v>
      </c>
      <c r="R23" s="3">
        <f t="shared" si="0"/>
        <v>2652.6315789473683</v>
      </c>
      <c r="S23" s="3">
        <f t="shared" si="0"/>
        <v>2842.1052631578946</v>
      </c>
      <c r="T23" s="3">
        <f t="shared" si="0"/>
        <v>3031.5789473684208</v>
      </c>
      <c r="U23" s="3">
        <f t="shared" si="0"/>
        <v>3221.0526315789475</v>
      </c>
      <c r="V23" s="3">
        <f t="shared" si="0"/>
        <v>3410.5263157894733</v>
      </c>
      <c r="W23" s="3">
        <f t="shared" si="0"/>
        <v>3600</v>
      </c>
      <c r="X23" s="3">
        <f>X24*3600</f>
        <v>3600</v>
      </c>
    </row>
    <row r="24" spans="1:24" x14ac:dyDescent="0.25">
      <c r="A24" t="s">
        <v>6</v>
      </c>
      <c r="C24" t="s">
        <v>29</v>
      </c>
      <c r="D24" s="18">
        <f t="shared" ref="D24:W24" si="1">D22/$W$22*$X$24</f>
        <v>0</v>
      </c>
      <c r="E24" s="18">
        <f t="shared" si="1"/>
        <v>5.2631578947368418E-2</v>
      </c>
      <c r="F24" s="18">
        <f t="shared" si="1"/>
        <v>0.10526315789473684</v>
      </c>
      <c r="G24" s="18">
        <f t="shared" si="1"/>
        <v>0.15789473684210525</v>
      </c>
      <c r="H24" s="18">
        <f t="shared" si="1"/>
        <v>0.21052631578947367</v>
      </c>
      <c r="I24" s="18">
        <f t="shared" si="1"/>
        <v>0.26315789473684209</v>
      </c>
      <c r="J24" s="18">
        <f t="shared" si="1"/>
        <v>0.31578947368421051</v>
      </c>
      <c r="K24" s="18">
        <f t="shared" si="1"/>
        <v>0.36842105263157893</v>
      </c>
      <c r="L24" s="18">
        <f t="shared" si="1"/>
        <v>0.42105263157894735</v>
      </c>
      <c r="M24" s="18">
        <f t="shared" si="1"/>
        <v>0.47368421052631576</v>
      </c>
      <c r="N24" s="18">
        <f t="shared" si="1"/>
        <v>0.52631578947368418</v>
      </c>
      <c r="O24" s="18">
        <f t="shared" si="1"/>
        <v>0.57894736842105265</v>
      </c>
      <c r="P24" s="18">
        <f t="shared" si="1"/>
        <v>0.63157894736842102</v>
      </c>
      <c r="Q24" s="18">
        <f t="shared" si="1"/>
        <v>0.68421052631578949</v>
      </c>
      <c r="R24" s="18">
        <f t="shared" si="1"/>
        <v>0.73684210526315785</v>
      </c>
      <c r="S24" s="18">
        <f t="shared" si="1"/>
        <v>0.78947368421052633</v>
      </c>
      <c r="T24" s="18">
        <f t="shared" si="1"/>
        <v>0.84210526315789469</v>
      </c>
      <c r="U24" s="18">
        <f t="shared" si="1"/>
        <v>0.89473684210526316</v>
      </c>
      <c r="V24" s="18">
        <f t="shared" si="1"/>
        <v>0.94736842105263153</v>
      </c>
      <c r="W24" s="18">
        <f t="shared" si="1"/>
        <v>1</v>
      </c>
      <c r="X24" s="18">
        <f>D19</f>
        <v>1</v>
      </c>
    </row>
    <row r="25" spans="1:24" x14ac:dyDescent="0.25">
      <c r="A25" t="s">
        <v>9</v>
      </c>
      <c r="B25" t="s">
        <v>25</v>
      </c>
      <c r="C25" t="s">
        <v>8</v>
      </c>
      <c r="D25" s="8">
        <f t="shared" ref="D25:U25" si="2">$D$17*10^6/$D$16+$D$11-($D$17*10^6/$D$16-$D$12+$D$11)*EXP(-$D$16/$D$6*D23)</f>
        <v>400.00000000000006</v>
      </c>
      <c r="E25" s="8">
        <f t="shared" si="2"/>
        <v>547.32009499555659</v>
      </c>
      <c r="F25" s="8">
        <f t="shared" si="2"/>
        <v>634.3534944647248</v>
      </c>
      <c r="G25" s="8">
        <f t="shared" si="2"/>
        <v>685.77086982949277</v>
      </c>
      <c r="H25" s="8">
        <f t="shared" si="2"/>
        <v>716.14709901881679</v>
      </c>
      <c r="I25" s="8">
        <f t="shared" si="2"/>
        <v>734.09269218097972</v>
      </c>
      <c r="J25" s="8">
        <f t="shared" si="2"/>
        <v>744.69454509480522</v>
      </c>
      <c r="K25" s="8">
        <f t="shared" si="2"/>
        <v>750.95788140198169</v>
      </c>
      <c r="L25" s="8">
        <f t="shared" si="2"/>
        <v>754.65811965426258</v>
      </c>
      <c r="M25" s="8">
        <f t="shared" si="2"/>
        <v>756.84413720978739</v>
      </c>
      <c r="N25" s="8">
        <f t="shared" si="2"/>
        <v>758.13558722658479</v>
      </c>
      <c r="O25" s="8">
        <f t="shared" si="2"/>
        <v>758.89854685683611</v>
      </c>
      <c r="P25" s="8">
        <f t="shared" si="2"/>
        <v>759.34928625040288</v>
      </c>
      <c r="Q25" s="8">
        <f t="shared" si="2"/>
        <v>759.61557294875172</v>
      </c>
      <c r="R25" s="8">
        <f t="shared" si="2"/>
        <v>759.77288914238716</v>
      </c>
      <c r="S25" s="8">
        <f t="shared" si="2"/>
        <v>759.86582801215945</v>
      </c>
      <c r="T25" s="8">
        <f t="shared" si="2"/>
        <v>759.92073420658835</v>
      </c>
      <c r="U25" s="8">
        <f t="shared" si="2"/>
        <v>759.95317155163093</v>
      </c>
      <c r="V25" s="8">
        <f>$D$17*10^6/$D$16+$D$11-($D$17*10^6/$D$16-$D$12+$D$11)*EXP(-$D$16/$D$6*V23)</f>
        <v>759.97233480569264</v>
      </c>
      <c r="W25" s="8">
        <f>$D$17*10^6/$D$16+$D$11-($D$17*10^6/$D$16-$D$12+$D$11)*EXP(-$D$16/$D$6*W23)</f>
        <v>759.98365602528554</v>
      </c>
      <c r="X25" s="8">
        <f>$D$17*10^6/$D$16+$D$11-($D$17*10^6/$D$16-$D$12+$D$11)*EXP(-$D$16/$D$6*X23)</f>
        <v>759.98365602528554</v>
      </c>
    </row>
    <row r="26" spans="1:24" x14ac:dyDescent="0.25">
      <c r="A26" t="s">
        <v>26</v>
      </c>
      <c r="B26" t="s">
        <v>27</v>
      </c>
      <c r="C26" t="s">
        <v>8</v>
      </c>
      <c r="D26" s="8">
        <f>D25-$D$12</f>
        <v>0</v>
      </c>
      <c r="E26" s="8">
        <f t="shared" ref="E26:U26" si="3">E25-$D$12</f>
        <v>147.32009499555659</v>
      </c>
      <c r="F26" s="8">
        <f t="shared" si="3"/>
        <v>234.3534944647248</v>
      </c>
      <c r="G26" s="8">
        <f t="shared" si="3"/>
        <v>285.77086982949277</v>
      </c>
      <c r="H26" s="8">
        <f t="shared" si="3"/>
        <v>316.14709901881679</v>
      </c>
      <c r="I26" s="8">
        <f t="shared" si="3"/>
        <v>334.09269218097972</v>
      </c>
      <c r="J26" s="8">
        <f t="shared" si="3"/>
        <v>344.69454509480522</v>
      </c>
      <c r="K26" s="8">
        <f t="shared" si="3"/>
        <v>350.95788140198169</v>
      </c>
      <c r="L26" s="8">
        <f t="shared" si="3"/>
        <v>354.65811965426258</v>
      </c>
      <c r="M26" s="8">
        <f t="shared" si="3"/>
        <v>356.84413720978739</v>
      </c>
      <c r="N26" s="8">
        <f t="shared" si="3"/>
        <v>358.13558722658479</v>
      </c>
      <c r="O26" s="8">
        <f t="shared" si="3"/>
        <v>358.89854685683611</v>
      </c>
      <c r="P26" s="8">
        <f t="shared" si="3"/>
        <v>359.34928625040288</v>
      </c>
      <c r="Q26" s="8">
        <f t="shared" si="3"/>
        <v>359.61557294875172</v>
      </c>
      <c r="R26" s="8">
        <f t="shared" si="3"/>
        <v>359.77288914238716</v>
      </c>
      <c r="S26" s="8">
        <f t="shared" si="3"/>
        <v>359.86582801215945</v>
      </c>
      <c r="T26" s="8">
        <f t="shared" si="3"/>
        <v>359.92073420658835</v>
      </c>
      <c r="U26" s="8">
        <f t="shared" si="3"/>
        <v>359.95317155163093</v>
      </c>
      <c r="V26" s="8">
        <f>V25-$D$12</f>
        <v>359.97233480569264</v>
      </c>
      <c r="W26" s="8">
        <f>W25-$D$12</f>
        <v>359.98365602528554</v>
      </c>
      <c r="X26" s="8">
        <f>X25-$D$12</f>
        <v>359.98365602528554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53AF-8E66-4B65-9FBE-35FF27D154AD}">
  <dimension ref="B4:G26"/>
  <sheetViews>
    <sheetView tabSelected="1" workbookViewId="0">
      <selection activeCell="D34" sqref="D34"/>
    </sheetView>
  </sheetViews>
  <sheetFormatPr defaultRowHeight="15" x14ac:dyDescent="0.25"/>
  <cols>
    <col min="2" max="2" width="21.5703125" bestFit="1" customWidth="1"/>
    <col min="3" max="3" width="12.140625" customWidth="1"/>
  </cols>
  <sheetData>
    <row r="4" spans="2:7" x14ac:dyDescent="0.25">
      <c r="B4" t="s">
        <v>45</v>
      </c>
      <c r="D4" t="s">
        <v>77</v>
      </c>
    </row>
    <row r="6" spans="2:7" x14ac:dyDescent="0.25">
      <c r="B6" t="s">
        <v>44</v>
      </c>
      <c r="C6" t="s">
        <v>47</v>
      </c>
      <c r="G6" t="s">
        <v>49</v>
      </c>
    </row>
    <row r="7" spans="2:7" x14ac:dyDescent="0.25">
      <c r="G7" t="s">
        <v>51</v>
      </c>
    </row>
    <row r="8" spans="2:7" x14ac:dyDescent="0.25">
      <c r="G8" t="s">
        <v>50</v>
      </c>
    </row>
    <row r="9" spans="2:7" x14ac:dyDescent="0.25">
      <c r="B9" t="s">
        <v>63</v>
      </c>
    </row>
    <row r="10" spans="2:7" x14ac:dyDescent="0.25">
      <c r="B10" t="s">
        <v>46</v>
      </c>
      <c r="C10" t="s">
        <v>48</v>
      </c>
      <c r="G10" t="s">
        <v>52</v>
      </c>
    </row>
    <row r="11" spans="2:7" x14ac:dyDescent="0.25">
      <c r="B11" t="s">
        <v>61</v>
      </c>
      <c r="G11" t="s">
        <v>53</v>
      </c>
    </row>
    <row r="12" spans="2:7" x14ac:dyDescent="0.25">
      <c r="G12" t="s">
        <v>54</v>
      </c>
    </row>
    <row r="14" spans="2:7" x14ac:dyDescent="0.25">
      <c r="B14" t="s">
        <v>55</v>
      </c>
    </row>
    <row r="16" spans="2:7" x14ac:dyDescent="0.25">
      <c r="B16" t="s">
        <v>50</v>
      </c>
      <c r="D16" s="11">
        <v>375</v>
      </c>
      <c r="E16">
        <f>D16</f>
        <v>375</v>
      </c>
      <c r="F16" t="s">
        <v>8</v>
      </c>
    </row>
    <row r="17" spans="2:6" x14ac:dyDescent="0.25">
      <c r="B17" t="s">
        <v>49</v>
      </c>
      <c r="D17" s="11">
        <v>760</v>
      </c>
      <c r="E17">
        <f>D17</f>
        <v>760</v>
      </c>
      <c r="F17" t="s">
        <v>8</v>
      </c>
    </row>
    <row r="19" spans="2:6" x14ac:dyDescent="0.25">
      <c r="B19" t="s">
        <v>51</v>
      </c>
      <c r="D19" s="11">
        <v>800</v>
      </c>
      <c r="E19" s="3">
        <f>(E17+(E20-1)*E16)/E20</f>
        <v>452</v>
      </c>
      <c r="F19" t="s">
        <v>8</v>
      </c>
    </row>
    <row r="20" spans="2:6" x14ac:dyDescent="0.25">
      <c r="B20" t="s">
        <v>56</v>
      </c>
      <c r="D20" s="3">
        <f>1+(D17-D19)/(D19-D16)</f>
        <v>0.90588235294117647</v>
      </c>
      <c r="E20" s="11">
        <v>5</v>
      </c>
    </row>
    <row r="22" spans="2:6" x14ac:dyDescent="0.25">
      <c r="B22" t="s">
        <v>57</v>
      </c>
      <c r="E22" t="s">
        <v>59</v>
      </c>
    </row>
    <row r="23" spans="2:6" x14ac:dyDescent="0.25">
      <c r="B23" t="s">
        <v>58</v>
      </c>
      <c r="E23" t="s">
        <v>60</v>
      </c>
    </row>
    <row r="25" spans="2:6" x14ac:dyDescent="0.25">
      <c r="B25" s="29" t="s">
        <v>79</v>
      </c>
    </row>
    <row r="26" spans="2:6" x14ac:dyDescent="0.25">
      <c r="B26" s="29" t="s">
        <v>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B90A-2E4F-4AB7-9F75-28671971BDD6}">
  <dimension ref="A1"/>
  <sheetViews>
    <sheetView workbookViewId="0">
      <selection activeCell="M15" sqref="M15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18BA-CB9A-48CB-90FD-B6B5C246239C}">
  <dimension ref="A6:I14"/>
  <sheetViews>
    <sheetView workbookViewId="0">
      <selection activeCell="L13" sqref="L13"/>
    </sheetView>
  </sheetViews>
  <sheetFormatPr defaultRowHeight="15" x14ac:dyDescent="0.25"/>
  <cols>
    <col min="1" max="1" width="21.28515625" customWidth="1"/>
    <col min="2" max="2" width="9.7109375" customWidth="1"/>
  </cols>
  <sheetData>
    <row r="6" spans="1:9" x14ac:dyDescent="0.25">
      <c r="A6" t="s">
        <v>64</v>
      </c>
      <c r="B6" t="s">
        <v>70</v>
      </c>
      <c r="C6">
        <v>3000</v>
      </c>
    </row>
    <row r="7" spans="1:9" x14ac:dyDescent="0.25">
      <c r="A7" t="s">
        <v>2</v>
      </c>
      <c r="B7" t="s">
        <v>16</v>
      </c>
      <c r="D7">
        <f>'CO2 belasting'!C7</f>
        <v>50</v>
      </c>
      <c r="E7">
        <v>27</v>
      </c>
      <c r="F7">
        <v>14</v>
      </c>
      <c r="G7">
        <v>10</v>
      </c>
      <c r="H7">
        <v>120</v>
      </c>
    </row>
    <row r="8" spans="1:9" x14ac:dyDescent="0.25">
      <c r="A8" t="s">
        <v>66</v>
      </c>
      <c r="B8" t="s">
        <v>15</v>
      </c>
      <c r="C8">
        <f>'CO2 belasting'!C9</f>
        <v>10</v>
      </c>
      <c r="D8">
        <f>D7*$C$8</f>
        <v>500</v>
      </c>
      <c r="E8">
        <f>E7*$C$8</f>
        <v>270</v>
      </c>
      <c r="F8">
        <f>F7*$C$8</f>
        <v>140</v>
      </c>
      <c r="G8">
        <f>G7*$C$8</f>
        <v>100</v>
      </c>
      <c r="H8">
        <f>H7*$C$8</f>
        <v>1200</v>
      </c>
      <c r="I8" t="s">
        <v>16</v>
      </c>
    </row>
    <row r="9" spans="1:9" x14ac:dyDescent="0.25">
      <c r="A9" t="s">
        <v>65</v>
      </c>
      <c r="B9" t="s">
        <v>68</v>
      </c>
      <c r="C9">
        <v>140</v>
      </c>
    </row>
    <row r="10" spans="1:9" x14ac:dyDescent="0.25">
      <c r="A10" t="s">
        <v>67</v>
      </c>
      <c r="B10" t="s">
        <v>16</v>
      </c>
      <c r="C10">
        <v>0.375</v>
      </c>
    </row>
    <row r="12" spans="1:9" x14ac:dyDescent="0.25">
      <c r="A12" t="s">
        <v>12</v>
      </c>
      <c r="B12" t="s">
        <v>72</v>
      </c>
      <c r="D12" s="16">
        <f>$C$6*D7*$C$8/$C$9/$C$10</f>
        <v>28571.428571428569</v>
      </c>
      <c r="E12" s="16">
        <f>$C$6*E7*$C$8/$C$9/$C$10</f>
        <v>15428.571428571428</v>
      </c>
      <c r="F12" s="16">
        <f>$C$6*F7*$C$8/$C$9/$C$10</f>
        <v>8000</v>
      </c>
      <c r="G12" s="16">
        <f>$C$6*G7*$C$8/$C$9/$C$10</f>
        <v>5714.2857142857138</v>
      </c>
      <c r="H12" s="16">
        <f>$C$6*H7*$C$8/$C$9/$C$10</f>
        <v>68571.428571428565</v>
      </c>
    </row>
    <row r="13" spans="1:9" x14ac:dyDescent="0.25">
      <c r="B13" t="s">
        <v>69</v>
      </c>
      <c r="D13" s="16">
        <f>D12/60</f>
        <v>476.19047619047615</v>
      </c>
      <c r="E13" s="16">
        <f t="shared" ref="E13:H14" si="0">E12/60</f>
        <v>257.14285714285711</v>
      </c>
      <c r="F13" s="16">
        <f t="shared" si="0"/>
        <v>133.33333333333334</v>
      </c>
      <c r="G13" s="16">
        <f t="shared" si="0"/>
        <v>95.238095238095227</v>
      </c>
      <c r="H13" s="16">
        <f t="shared" si="0"/>
        <v>1142.8571428571427</v>
      </c>
    </row>
    <row r="14" spans="1:9" x14ac:dyDescent="0.25">
      <c r="B14" t="s">
        <v>71</v>
      </c>
      <c r="D14" s="15">
        <f>D13/60</f>
        <v>7.9365079365079358</v>
      </c>
      <c r="E14" s="15">
        <f t="shared" si="0"/>
        <v>4.2857142857142856</v>
      </c>
      <c r="F14" s="15">
        <f t="shared" si="0"/>
        <v>2.2222222222222223</v>
      </c>
      <c r="G14" s="15">
        <f t="shared" si="0"/>
        <v>1.5873015873015872</v>
      </c>
      <c r="H14" s="15">
        <f t="shared" si="0"/>
        <v>19.047619047619044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CO2 belasting</vt:lpstr>
      <vt:lpstr>Grafisch</vt:lpstr>
      <vt:lpstr>Doorspoeling</vt:lpstr>
      <vt:lpstr>Luchtfilters</vt:lpstr>
      <vt:lpstr>virusbelasting</vt:lpstr>
    </vt:vector>
  </TitlesOfParts>
  <Company>Kropman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Lops, B.J. (Ben)</dc:creator>
  <cp:lastModifiedBy>Bax, S. (Steven)</cp:lastModifiedBy>
  <dcterms:created xsi:type="dcterms:W3CDTF">2013-05-13T07:15:13Z</dcterms:created>
  <dcterms:modified xsi:type="dcterms:W3CDTF">2024-08-09T12:37:17Z</dcterms:modified>
</cp:coreProperties>
</file>