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FinalResultsGraphing/"/>
    </mc:Choice>
  </mc:AlternateContent>
  <xr:revisionPtr revIDLastSave="0" documentId="13_ncr:1_{7D0E2F43-1CC2-3D44-B467-40D43A873FD7}" xr6:coauthVersionLast="47" xr6:coauthVersionMax="47" xr10:uidLastSave="{00000000-0000-0000-0000-000000000000}"/>
  <bookViews>
    <workbookView xWindow="0" yWindow="820" windowWidth="34560" windowHeight="19480" xr2:uid="{81BDDA59-F480-4C30-8BBC-AD1E6993C18D}"/>
  </bookViews>
  <sheets>
    <sheet name="Sheet1" sheetId="1" r:id="rId1"/>
    <sheet name="recoveryVsPressure" sheetId="7" r:id="rId2"/>
    <sheet name="fluxVsPressure" sheetId="3" r:id="rId3"/>
    <sheet name="fluxVsPDiff" sheetId="4" r:id="rId4"/>
    <sheet name="cVsCDrop" sheetId="5" r:id="rId5"/>
    <sheet name="PDiffWithOsmoticPressureDiff" sheetId="6" r:id="rId6"/>
    <sheet name="water density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 a="1"/>
  <c r="G40" i="1" s="1"/>
  <c r="F40" i="1" a="1"/>
  <c r="F40" i="1" s="1"/>
  <c r="E40" i="1" a="1"/>
  <c r="E40" i="1" s="1"/>
  <c r="D40" i="1" a="1"/>
  <c r="D40" i="1" s="1"/>
  <c r="D3" i="7"/>
  <c r="D4" i="7"/>
  <c r="D5" i="7"/>
  <c r="D6" i="7"/>
  <c r="D7" i="7"/>
  <c r="D8" i="7"/>
  <c r="D9" i="7"/>
  <c r="D10" i="7"/>
  <c r="D11" i="7"/>
  <c r="D12" i="7"/>
  <c r="D13" i="7"/>
  <c r="D2" i="7"/>
  <c r="C1" i="7" a="1"/>
  <c r="C1" i="7" s="1"/>
  <c r="C29" i="1"/>
  <c r="D29" i="1"/>
  <c r="E29" i="1"/>
  <c r="F29" i="1"/>
  <c r="G29" i="1"/>
  <c r="H29" i="1"/>
  <c r="I29" i="1"/>
  <c r="J29" i="1"/>
  <c r="K29" i="1"/>
  <c r="L29" i="1"/>
  <c r="M29" i="1"/>
  <c r="N29" i="1"/>
  <c r="B1" i="7" a="1"/>
  <c r="B1" i="7" s="1"/>
  <c r="L11" i="1"/>
  <c r="I11" i="1"/>
  <c r="N20" i="1" l="1"/>
  <c r="N22" i="1" s="1"/>
  <c r="C1" i="6" a="1"/>
  <c r="C1" i="6" s="1"/>
  <c r="B1" i="4" a="1"/>
  <c r="C13" i="4" s="1"/>
  <c r="B1" i="3" a="1"/>
  <c r="B1" i="3" s="1"/>
  <c r="E16" i="1"/>
  <c r="F16" i="1"/>
  <c r="J16" i="1"/>
  <c r="K16" i="1"/>
  <c r="L16" i="1"/>
  <c r="C16" i="1"/>
  <c r="C26" i="1" s="1"/>
  <c r="C27" i="1" s="1"/>
  <c r="C21" i="1"/>
  <c r="C22" i="1" s="1"/>
  <c r="J20" i="1"/>
  <c r="K20" i="1"/>
  <c r="L20" i="1"/>
  <c r="M20" i="1"/>
  <c r="M16" i="1" s="1"/>
  <c r="I20" i="1"/>
  <c r="I22" i="1" s="1"/>
  <c r="F20" i="1"/>
  <c r="D20" i="1"/>
  <c r="D16" i="1" s="1"/>
  <c r="E20" i="1"/>
  <c r="G20" i="1"/>
  <c r="G16" i="1" s="1"/>
  <c r="H20" i="1"/>
  <c r="H16" i="1" s="1"/>
  <c r="C20" i="1"/>
  <c r="C23" i="1" s="1"/>
  <c r="J21" i="1"/>
  <c r="J22" i="1" s="1"/>
  <c r="K21" i="1"/>
  <c r="K22" i="1" s="1"/>
  <c r="L21" i="1"/>
  <c r="L22" i="1" s="1"/>
  <c r="M21" i="1"/>
  <c r="N21" i="1"/>
  <c r="I21" i="1"/>
  <c r="D21" i="1"/>
  <c r="E21" i="1"/>
  <c r="E22" i="1" s="1"/>
  <c r="F21" i="1"/>
  <c r="F22" i="1" s="1"/>
  <c r="G21" i="1"/>
  <c r="H21" i="1"/>
  <c r="N16" i="1" l="1"/>
  <c r="M22" i="1"/>
  <c r="I16" i="1"/>
  <c r="I26" i="1" s="1"/>
  <c r="I27" i="1" s="1"/>
  <c r="D22" i="1"/>
  <c r="H22" i="1"/>
  <c r="C1" i="5" s="1" a="1"/>
  <c r="C1" i="5" s="1"/>
  <c r="G22" i="1"/>
  <c r="C4" i="4"/>
  <c r="C5" i="4"/>
  <c r="C6" i="4"/>
  <c r="C8" i="4"/>
  <c r="C10" i="4"/>
  <c r="B1" i="4"/>
  <c r="C11" i="4"/>
  <c r="C2" i="4"/>
  <c r="C12" i="4"/>
  <c r="C7" i="4"/>
  <c r="C9" i="4"/>
  <c r="C3" i="4"/>
  <c r="C12" i="3"/>
  <c r="C11" i="3"/>
  <c r="C10" i="3"/>
  <c r="C9" i="3"/>
  <c r="C8" i="3"/>
  <c r="C2" i="3"/>
  <c r="C7" i="3"/>
  <c r="C6" i="3"/>
  <c r="C5" i="3"/>
  <c r="C4" i="3"/>
  <c r="C13" i="3"/>
  <c r="C3" i="3"/>
  <c r="K23" i="1"/>
  <c r="D25" i="1"/>
  <c r="E25" i="1"/>
  <c r="F25" i="1"/>
  <c r="G25" i="1"/>
  <c r="H25" i="1"/>
  <c r="I25" i="1"/>
  <c r="J25" i="1"/>
  <c r="K25" i="1"/>
  <c r="L25" i="1"/>
  <c r="M25" i="1"/>
  <c r="N25" i="1"/>
  <c r="C25" i="1"/>
  <c r="D30" i="1"/>
  <c r="E30" i="1"/>
  <c r="F30" i="1"/>
  <c r="G30" i="1"/>
  <c r="H30" i="1"/>
  <c r="I30" i="1"/>
  <c r="J30" i="1"/>
  <c r="K30" i="1"/>
  <c r="L30" i="1"/>
  <c r="M30" i="1"/>
  <c r="N30" i="1"/>
  <c r="C30" i="1"/>
  <c r="D24" i="1"/>
  <c r="J26" i="1"/>
  <c r="J27" i="1" s="1"/>
  <c r="K26" i="1"/>
  <c r="K27" i="1" s="1"/>
  <c r="L26" i="1"/>
  <c r="L27" i="1" s="1"/>
  <c r="M23" i="1"/>
  <c r="N26" i="1"/>
  <c r="N27" i="1" s="1"/>
  <c r="M24" i="1"/>
  <c r="I24" i="1"/>
  <c r="E24" i="1"/>
  <c r="F24" i="1"/>
  <c r="G24" i="1"/>
  <c r="H24" i="1"/>
  <c r="C24" i="1"/>
  <c r="D31" i="1"/>
  <c r="E31" i="1"/>
  <c r="F26" i="1"/>
  <c r="F27" i="1" s="1"/>
  <c r="G23" i="1"/>
  <c r="H26" i="1"/>
  <c r="H27" i="1" s="1"/>
  <c r="G6" i="2"/>
  <c r="G7" i="2"/>
  <c r="G8" i="2"/>
  <c r="G9" i="2"/>
  <c r="G5" i="2"/>
  <c r="C28" i="1" l="1"/>
  <c r="N23" i="1"/>
  <c r="J23" i="1"/>
  <c r="M26" i="1"/>
  <c r="M27" i="1" s="1"/>
  <c r="I23" i="1"/>
  <c r="M31" i="1"/>
  <c r="L24" i="1"/>
  <c r="K31" i="1"/>
  <c r="K24" i="1"/>
  <c r="N31" i="1"/>
  <c r="J24" i="1"/>
  <c r="D1" i="4" s="1" a="1"/>
  <c r="I31" i="1"/>
  <c r="N24" i="1"/>
  <c r="L31" i="1"/>
  <c r="J31" i="1"/>
  <c r="L23" i="1"/>
  <c r="D26" i="1"/>
  <c r="E26" i="1"/>
  <c r="E27" i="1" s="1"/>
  <c r="H23" i="1"/>
  <c r="G31" i="1"/>
  <c r="F31" i="1"/>
  <c r="E23" i="1"/>
  <c r="G26" i="1"/>
  <c r="G27" i="1" s="1"/>
  <c r="H31" i="1"/>
  <c r="F23" i="1"/>
  <c r="F28" i="1" s="1"/>
  <c r="D23" i="1"/>
  <c r="C31" i="1"/>
  <c r="F1" i="4" l="1" a="1"/>
  <c r="D27" i="1"/>
  <c r="B1" i="5" s="1" a="1"/>
  <c r="B1" i="5" s="1"/>
  <c r="D1" i="3" a="1"/>
  <c r="D1" i="4"/>
  <c r="E8" i="4"/>
  <c r="E3" i="4"/>
  <c r="E13" i="4"/>
  <c r="E9" i="4"/>
  <c r="E10" i="4"/>
  <c r="E11" i="4"/>
  <c r="E12" i="4"/>
  <c r="E4" i="4"/>
  <c r="E7" i="4"/>
  <c r="E2" i="4"/>
  <c r="E5" i="4"/>
  <c r="E6" i="4"/>
  <c r="M28" i="1"/>
  <c r="N28" i="1"/>
  <c r="I28" i="1"/>
  <c r="J28" i="1"/>
  <c r="K28" i="1"/>
  <c r="E28" i="1"/>
  <c r="L28" i="1"/>
  <c r="H28" i="1"/>
  <c r="G28" i="1"/>
  <c r="D28" i="1" l="1"/>
  <c r="H4" i="4"/>
  <c r="I4" i="4" s="1"/>
  <c r="D1" i="3"/>
  <c r="E10" i="3"/>
  <c r="E5" i="3"/>
  <c r="E11" i="3"/>
  <c r="E2" i="3"/>
  <c r="E9" i="3"/>
  <c r="E8" i="3"/>
  <c r="E4" i="3"/>
  <c r="E13" i="3"/>
  <c r="E7" i="3"/>
  <c r="E3" i="3"/>
  <c r="E6" i="3"/>
  <c r="E12" i="3"/>
  <c r="H5" i="4"/>
  <c r="I5" i="4" s="1"/>
  <c r="H12" i="4"/>
  <c r="I12" i="4" s="1"/>
  <c r="F1" i="4"/>
  <c r="G8" i="4"/>
  <c r="H8" i="4" s="1"/>
  <c r="I8" i="4" s="1"/>
  <c r="G9" i="4"/>
  <c r="H9" i="4" s="1"/>
  <c r="I9" i="4" s="1"/>
  <c r="G10" i="4"/>
  <c r="H10" i="4" s="1"/>
  <c r="I10" i="4" s="1"/>
  <c r="G11" i="4"/>
  <c r="H11" i="4" s="1"/>
  <c r="I11" i="4" s="1"/>
  <c r="G12" i="4"/>
  <c r="G5" i="4"/>
  <c r="G13" i="4"/>
  <c r="H13" i="4" s="1"/>
  <c r="I13" i="4" s="1"/>
  <c r="G4" i="4"/>
  <c r="G2" i="4"/>
  <c r="H2" i="4" s="1"/>
  <c r="I2" i="4" s="1"/>
  <c r="G3" i="4"/>
  <c r="H3" i="4" s="1"/>
  <c r="I3" i="4" s="1"/>
  <c r="G6" i="4"/>
  <c r="H6" i="4" s="1"/>
  <c r="I6" i="4" s="1"/>
  <c r="G7" i="4"/>
  <c r="H7" i="4" s="1"/>
  <c r="I7" i="4" s="1"/>
  <c r="D1" i="6" l="1" a="1"/>
  <c r="D1" i="6" s="1"/>
  <c r="B1" i="6" a="1"/>
  <c r="B1" i="6" s="1"/>
  <c r="J1" i="4" a="1"/>
  <c r="J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<sst xmlns="http://schemas.openxmlformats.org/spreadsheetml/2006/main" count="79" uniqueCount="55">
  <si>
    <t>Week 1</t>
  </si>
  <si>
    <t>Week 2</t>
  </si>
  <si>
    <t>Run 1</t>
  </si>
  <si>
    <t xml:space="preserve">Run 2 </t>
  </si>
  <si>
    <t>Run3</t>
  </si>
  <si>
    <t>Permeate salt concentration, g/l</t>
  </si>
  <si>
    <t>Feed salt concentration, g/l</t>
  </si>
  <si>
    <t>Permeate density, g/ml</t>
  </si>
  <si>
    <t>Permeate flow, ml/min</t>
  </si>
  <si>
    <r>
      <t>Water Flux corrected to 25°C J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, mol/m^2-hr</t>
    </r>
  </si>
  <si>
    <r>
      <t>Salt Flux corrected to 25°C J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mol/m^2-hr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</si>
  <si>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w ,  </t>
    </r>
    <r>
      <rPr>
        <sz val="11"/>
        <color theme="1"/>
        <rFont val="Calibri"/>
        <family val="2"/>
        <scheme val="minor"/>
      </rPr>
      <t>mol/m^2-hr-atm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</si>
  <si>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L/m^2-hr</t>
    </r>
  </si>
  <si>
    <r>
      <t>Instanteous Salt Rejection Coefficient,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as a decimal</t>
    </r>
  </si>
  <si>
    <t>Flux TCF</t>
  </si>
  <si>
    <t>Transmembrane Pressure drop, psi</t>
  </si>
  <si>
    <t>Inputs</t>
  </si>
  <si>
    <t>Av temp of Feed, °C</t>
  </si>
  <si>
    <t>Av temp of permeate, °C</t>
  </si>
  <si>
    <t>calculations assume density doesn't change when salt is added (vol does)</t>
  </si>
  <si>
    <r>
      <rPr>
        <b/>
        <sz val="11"/>
        <color theme="1"/>
        <rFont val="Calibri"/>
        <family val="2"/>
        <scheme val="minor"/>
      </rPr>
      <t>Permeate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p</t>
    </r>
    <r>
      <rPr>
        <sz val="11"/>
        <color theme="1"/>
        <rFont val="Calibri"/>
        <family val="2"/>
        <scheme val="minor"/>
      </rPr>
      <t xml:space="preserve"> (atm)</t>
    </r>
  </si>
  <si>
    <r>
      <rPr>
        <b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f</t>
    </r>
    <r>
      <rPr>
        <sz val="11"/>
        <color theme="1"/>
        <rFont val="Calibri"/>
        <family val="2"/>
        <scheme val="minor"/>
      </rPr>
      <t xml:space="preserve"> (atm)</t>
    </r>
  </si>
  <si>
    <r>
      <t xml:space="preserve">Salt concentration Gradient,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Cs, mol/L</t>
    </r>
  </si>
  <si>
    <t>For Concentrated Solutions</t>
  </si>
  <si>
    <t>"Mc"</t>
  </si>
  <si>
    <t>"Bc"</t>
  </si>
  <si>
    <t>For Dilute Solutions</t>
  </si>
  <si>
    <t>"Md"</t>
  </si>
  <si>
    <t>"Bd"</t>
  </si>
  <si>
    <r>
      <t xml:space="preserve">EC units are  </t>
    </r>
    <r>
      <rPr>
        <b/>
        <sz val="11"/>
        <color theme="1"/>
        <rFont val="Calibri"/>
        <family val="2"/>
        <scheme val="minor"/>
      </rPr>
      <t>Micro Siemen</t>
    </r>
    <r>
      <rPr>
        <sz val="11"/>
        <color theme="1"/>
        <rFont val="Calibri"/>
        <family val="2"/>
        <scheme val="min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</si>
  <si>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Permeate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</si>
  <si>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Feed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</si>
  <si>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t>1g/L Feed Solution</t>
  </si>
  <si>
    <t>5g/L Feed Solution</t>
  </si>
  <si>
    <t xml:space="preserve">% Recovery </t>
  </si>
  <si>
    <t>T</t>
  </si>
  <si>
    <t>density g/ml</t>
  </si>
  <si>
    <t>eqcn</t>
  </si>
  <si>
    <t>eqn</t>
  </si>
  <si>
    <r>
      <t xml:space="preserve">EC in </t>
    </r>
    <r>
      <rPr>
        <sz val="11"/>
        <color theme="1"/>
        <rFont val="Calibri Light"/>
        <family val="2"/>
        <scheme val="major"/>
      </rPr>
      <t>m</t>
    </r>
    <r>
      <rPr>
        <sz val="11"/>
        <color theme="1"/>
        <rFont val="Calibri"/>
        <family val="2"/>
        <scheme val="minor"/>
      </rPr>
      <t>S vs. [salt] equation parameters ([salt, g/l] = M*EC +B)</t>
    </r>
  </si>
  <si>
    <r>
      <t xml:space="preserve">Please put your Raw and Calculated Data in this table. </t>
    </r>
    <r>
      <rPr>
        <b/>
        <sz val="11"/>
        <color theme="1"/>
        <rFont val="Calibri"/>
        <family val="2"/>
        <scheme val="minor"/>
      </rPr>
      <t>NOTE UNITS</t>
    </r>
  </si>
  <si>
    <t>Calculated Values</t>
  </si>
  <si>
    <t>Water Flux corrected to 25°C Jw, L/m^2-hr</t>
  </si>
  <si>
    <t>Transmembrane Pressure drop, kPa</t>
  </si>
  <si>
    <t>Run</t>
  </si>
  <si>
    <t>Feed Osmotic pressure, pf (kPa)</t>
  </si>
  <si>
    <t>Osmotic Pressure Difference (kPa)</t>
  </si>
  <si>
    <t>Delta P - Delta Pi (kPa)</t>
  </si>
  <si>
    <t>%</t>
  </si>
  <si>
    <t>NaCl</t>
  </si>
  <si>
    <t>1 g/L</t>
  </si>
  <si>
    <t>5 g/L</t>
  </si>
  <si>
    <t>MgCl2</t>
  </si>
  <si>
    <t>Pressure</t>
  </si>
  <si>
    <t>Permeate Flow, ml/min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</si>
</sst>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0.00000000000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0" fillId="2" borderId="2" xfId="0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5" fontId="9" fillId="4" borderId="3" xfId="0" applyNumberFormat="1" applyFont="1" applyFill="1" applyBorder="1" applyAlignment="1">
      <alignment horizontal="center" wrapText="1"/>
    </xf>
    <xf numFmtId="165" fontId="9" fillId="4" borderId="4" xfId="0" applyNumberFormat="1" applyFont="1" applyFill="1" applyBorder="1" applyAlignment="1">
      <alignment horizontal="center" wrapText="1"/>
    </xf>
    <xf numFmtId="165" fontId="9" fillId="4" borderId="5" xfId="0" applyNumberFormat="1" applyFont="1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0" fillId="5" borderId="11" xfId="0" applyFill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density'!$E$4</c:f>
              <c:strCache>
                <c:ptCount val="1"/>
                <c:pt idx="0">
                  <c:v>density g/ml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379724409448821"/>
                  <c:y val="-8.79042723826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'water density'!$D$5:$D$9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'water density'!$E$5:$E$9</c:f>
              <c:numCache>
                <c:formatCode>General</c:formatCode>
                <c:ptCount val="5"/>
                <c:pt idx="0">
                  <c:v>0.99965000000000004</c:v>
                </c:pt>
                <c:pt idx="1">
                  <c:v>0.99905999999999995</c:v>
                </c:pt>
                <c:pt idx="2">
                  <c:v>0.99819000000000002</c:v>
                </c:pt>
                <c:pt idx="3">
                  <c:v>0.99704999999999999</c:v>
                </c:pt>
                <c:pt idx="4">
                  <c:v>0.99567000000000005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8-464A-A4C0-A7DBF3FC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1199"/>
        <c:axId val="447418383"/>
      </c:scatterChart>
      <c:valAx>
        <c:axId val="16216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8383"/>
        <c:crosses val="autoZero"/>
        <c:crossBetween val="midCat"/>
      </c:valAx>
      <c:valAx>
        <c:axId val="4474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130534</xdr:colOff>
      <xdr:row>1</xdr:row>
      <xdr:rowOff>81207</xdr:rowOff>
    </xdr:from>
    <xdr:to>
      <xdr:col>20</xdr:col>
      <xdr:colOff>533539</xdr:colOff>
      <xdr:row>20</xdr:row>
      <xdr:rowOff>140278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74D869-8018-D166-9714-D8C0F8251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6279" y="261316"/>
          <a:ext cx="3381733" cy="3564271"/>
        </a:xfrm>
        <a:prstGeom prst="rect">
          <a:avLst/>
        </a:prstGeom>
      </xdr:spPr>
    </xdr:pic>
    <xdr:clientData/>
  </xdr:twoCellAnchor>
  <xdr:twoCellAnchor editAs="oneCell">
    <xdr:from>
      <xdr:col>20</xdr:col>
      <xdr:colOff>49049</xdr:colOff>
      <xdr:row>1</xdr:row>
      <xdr:rowOff>95689</xdr:rowOff>
    </xdr:from>
    <xdr:to>
      <xdr:col>24</xdr:col>
      <xdr:colOff>408961</xdr:colOff>
      <xdr:row>17</xdr:row>
      <xdr:rowOff>13854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93429FD-B2C5-9836-6094-8256D8A19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53522" y="275798"/>
          <a:ext cx="2742894" cy="2883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22241-8A2A-9356-3658-9618BFED2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900-F8FE-494C-A82D-A0F58AF8A95B}">
  <dimension ref="A2:AC45"/>
  <sheetViews>
    <sheetView tabSelected="1" topLeftCell="A5" zoomScale="200" zoomScaleNormal="150" workbookViewId="0">
      <selection activeCell="E48" sqref="E48"/>
    </sheetView>
  </sheetViews>
  <sheetFormatPr baseColWidth="10" defaultColWidth="8.83203125" defaultRowHeight="15" x14ac:dyDescent="0.2"/>
  <cols>
    <col min="1" max="1" width="10" customWidth="1"/>
    <col min="2" max="2" width="52.33203125" bestFit="1" customWidth="1"/>
    <col min="3" max="14" width="8.83203125" customWidth="1"/>
  </cols>
  <sheetData>
    <row r="2" spans="1:29" x14ac:dyDescent="0.2">
      <c r="B2" t="s">
        <v>40</v>
      </c>
    </row>
    <row r="3" spans="1:29" x14ac:dyDescent="0.2">
      <c r="C3" s="19" t="s">
        <v>0</v>
      </c>
      <c r="D3" s="19"/>
      <c r="E3" s="19"/>
      <c r="F3" s="19"/>
      <c r="G3" s="19"/>
      <c r="H3" s="19"/>
      <c r="I3" s="19" t="s">
        <v>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9" x14ac:dyDescent="0.2"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</row>
    <row r="5" spans="1:29" x14ac:dyDescent="0.2">
      <c r="A5" t="s">
        <v>16</v>
      </c>
      <c r="B5" s="2"/>
      <c r="C5" s="20" t="s">
        <v>32</v>
      </c>
      <c r="D5" s="20"/>
      <c r="E5" s="20"/>
      <c r="F5" s="20" t="s">
        <v>33</v>
      </c>
      <c r="G5" s="20"/>
      <c r="H5" s="20"/>
      <c r="I5" s="20" t="s">
        <v>32</v>
      </c>
      <c r="J5" s="20"/>
      <c r="K5" s="20"/>
      <c r="L5" s="20" t="s">
        <v>33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9" x14ac:dyDescent="0.2">
      <c r="B6" s="2" t="s">
        <v>39</v>
      </c>
    </row>
    <row r="7" spans="1:29" ht="16" thickBot="1" x14ac:dyDescent="0.25">
      <c r="B7" s="2" t="s">
        <v>23</v>
      </c>
    </row>
    <row r="8" spans="1:29" ht="16" thickBot="1" x14ac:dyDescent="0.25">
      <c r="B8" s="3" t="s">
        <v>24</v>
      </c>
      <c r="C8" s="21">
        <v>0.54398085190000001</v>
      </c>
      <c r="D8" s="22"/>
      <c r="E8" s="23"/>
      <c r="F8" s="21">
        <v>0.54398085190000001</v>
      </c>
      <c r="G8" s="22"/>
      <c r="H8" s="23"/>
      <c r="I8" s="24">
        <v>0.51009998000000001</v>
      </c>
      <c r="J8" s="25"/>
      <c r="K8" s="26"/>
      <c r="L8" s="24">
        <v>0.51009998000000001</v>
      </c>
      <c r="M8" s="25"/>
      <c r="N8" s="26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4"/>
      <c r="AB8" s="4"/>
      <c r="AC8" s="4"/>
    </row>
    <row r="9" spans="1:29" ht="16" thickBot="1" x14ac:dyDescent="0.25">
      <c r="B9" s="3" t="s">
        <v>25</v>
      </c>
      <c r="C9" s="21">
        <v>0</v>
      </c>
      <c r="D9" s="22"/>
      <c r="E9" s="23"/>
      <c r="F9" s="21">
        <v>0</v>
      </c>
      <c r="G9" s="22"/>
      <c r="H9" s="23"/>
      <c r="I9" s="24">
        <v>0</v>
      </c>
      <c r="J9" s="25"/>
      <c r="K9" s="26"/>
      <c r="L9" s="24">
        <v>0</v>
      </c>
      <c r="M9" s="25"/>
      <c r="N9" s="26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4"/>
      <c r="AB9" s="4"/>
      <c r="AC9" s="4"/>
    </row>
    <row r="10" spans="1:29" ht="16" thickBot="1" x14ac:dyDescent="0.25"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9" ht="16" thickBot="1" x14ac:dyDescent="0.25">
      <c r="B11" s="3" t="s">
        <v>27</v>
      </c>
      <c r="C11" s="21">
        <v>0.513004668</v>
      </c>
      <c r="D11" s="22"/>
      <c r="E11" s="23"/>
      <c r="F11" s="21">
        <v>0.513004668</v>
      </c>
      <c r="G11" s="22"/>
      <c r="H11" s="23"/>
      <c r="I11" s="24">
        <f>0.4484103852</f>
        <v>0.44841038519999998</v>
      </c>
      <c r="J11" s="25"/>
      <c r="K11" s="26"/>
      <c r="L11" s="24">
        <f>0.4484103852</f>
        <v>0.44841038519999998</v>
      </c>
      <c r="M11" s="25"/>
      <c r="N11" s="26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4"/>
      <c r="AB11" s="4"/>
      <c r="AC11" s="4"/>
    </row>
    <row r="12" spans="1:29" ht="16" thickBot="1" x14ac:dyDescent="0.25">
      <c r="B12" s="3" t="s">
        <v>28</v>
      </c>
      <c r="C12" s="21">
        <v>0</v>
      </c>
      <c r="D12" s="22"/>
      <c r="E12" s="23"/>
      <c r="F12" s="21">
        <v>0</v>
      </c>
      <c r="G12" s="22"/>
      <c r="H12" s="23"/>
      <c r="I12" s="24">
        <v>0</v>
      </c>
      <c r="J12" s="25"/>
      <c r="K12" s="26"/>
      <c r="L12" s="24">
        <v>0</v>
      </c>
      <c r="M12" s="25"/>
      <c r="N12" s="26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4"/>
      <c r="AB12" s="4"/>
      <c r="AC12" s="4"/>
    </row>
    <row r="13" spans="1:29" x14ac:dyDescent="0.2">
      <c r="B13" s="6" t="s">
        <v>15</v>
      </c>
      <c r="C13" s="6">
        <v>75</v>
      </c>
      <c r="D13" s="6">
        <v>115</v>
      </c>
      <c r="E13" s="6">
        <v>155</v>
      </c>
      <c r="F13" s="6">
        <v>75</v>
      </c>
      <c r="G13" s="6">
        <v>115</v>
      </c>
      <c r="H13" s="6">
        <v>155</v>
      </c>
      <c r="I13" s="6">
        <v>75</v>
      </c>
      <c r="J13" s="6">
        <v>115</v>
      </c>
      <c r="K13" s="6">
        <v>155</v>
      </c>
      <c r="L13" s="6">
        <v>75</v>
      </c>
      <c r="M13" s="6">
        <v>115</v>
      </c>
      <c r="N13" s="6">
        <v>155</v>
      </c>
    </row>
    <row r="14" spans="1:29" x14ac:dyDescent="0.2">
      <c r="B14" s="7" t="s">
        <v>30</v>
      </c>
      <c r="C14" s="7">
        <v>102.25</v>
      </c>
      <c r="D14" s="7">
        <v>89.95</v>
      </c>
      <c r="E14" s="7">
        <v>71.849999999999994</v>
      </c>
      <c r="F14" s="7">
        <v>1049.5</v>
      </c>
      <c r="G14" s="7">
        <v>803</v>
      </c>
      <c r="H14" s="7">
        <v>570.5</v>
      </c>
      <c r="I14" s="7">
        <v>144.13300000000001</v>
      </c>
      <c r="J14" s="7">
        <v>126</v>
      </c>
      <c r="K14" s="7">
        <v>107.533</v>
      </c>
      <c r="L14" s="7">
        <v>868.2</v>
      </c>
      <c r="M14" s="7">
        <v>618.36699999999996</v>
      </c>
      <c r="N14" s="12">
        <v>451.3</v>
      </c>
    </row>
    <row r="15" spans="1:29" x14ac:dyDescent="0.2">
      <c r="B15" s="8" t="s">
        <v>31</v>
      </c>
      <c r="C15" s="8">
        <v>2030</v>
      </c>
      <c r="D15" s="8">
        <v>2045</v>
      </c>
      <c r="E15" s="8">
        <v>2065</v>
      </c>
      <c r="F15" s="8">
        <v>9300</v>
      </c>
      <c r="G15" s="8">
        <v>9300</v>
      </c>
      <c r="H15" s="8">
        <v>9300</v>
      </c>
      <c r="I15" s="8">
        <v>2100</v>
      </c>
      <c r="J15" s="8">
        <v>2125</v>
      </c>
      <c r="K15" s="8">
        <v>2130</v>
      </c>
      <c r="L15" s="8">
        <v>9313.3330000000005</v>
      </c>
      <c r="M15" s="8">
        <v>9350</v>
      </c>
      <c r="N15" s="13">
        <v>9385</v>
      </c>
    </row>
    <row r="16" spans="1:29" x14ac:dyDescent="0.2">
      <c r="B16" s="9" t="s">
        <v>7</v>
      </c>
      <c r="C16" s="9">
        <f>C20/1000+1</f>
        <v>1.0000524547273031</v>
      </c>
      <c r="D16" s="9">
        <f t="shared" ref="D16:N16" si="0">D20/1000+1</f>
        <v>1.0000461447698865</v>
      </c>
      <c r="E16" s="9">
        <f t="shared" si="0"/>
        <v>1.0000368593853959</v>
      </c>
      <c r="F16" s="9">
        <f t="shared" si="0"/>
        <v>1.0005383983990661</v>
      </c>
      <c r="G16" s="9">
        <f t="shared" si="0"/>
        <v>1.0004119427484039</v>
      </c>
      <c r="H16" s="9">
        <f t="shared" si="0"/>
        <v>1.000292669163094</v>
      </c>
      <c r="I16" s="9">
        <f t="shared" si="0"/>
        <v>1.0000646307340499</v>
      </c>
      <c r="J16" s="9">
        <f t="shared" si="0"/>
        <v>1.0000564997085353</v>
      </c>
      <c r="K16" s="9">
        <f t="shared" si="0"/>
        <v>1.0000482189139517</v>
      </c>
      <c r="L16" s="9">
        <f t="shared" si="0"/>
        <v>1.0003893098964307</v>
      </c>
      <c r="M16" s="9">
        <f t="shared" si="0"/>
        <v>1.0002772821846651</v>
      </c>
      <c r="N16" s="9">
        <f t="shared" si="0"/>
        <v>1.0002023676068408</v>
      </c>
    </row>
    <row r="17" spans="1:27" x14ac:dyDescent="0.2">
      <c r="B17" s="9" t="s">
        <v>8</v>
      </c>
      <c r="C17" s="9">
        <v>8.1928000000000001</v>
      </c>
      <c r="D17" s="9">
        <v>12.7666</v>
      </c>
      <c r="E17" s="9">
        <v>16.981100000000001</v>
      </c>
      <c r="F17" s="9">
        <v>3.0668799999999998</v>
      </c>
      <c r="G17" s="9">
        <v>7.2018399999999998</v>
      </c>
      <c r="H17" s="9">
        <v>11.251799999999999</v>
      </c>
      <c r="I17" s="9">
        <v>8.3422000000000001</v>
      </c>
      <c r="J17" s="9">
        <v>12.722</v>
      </c>
      <c r="K17" s="9">
        <v>16.175899999999999</v>
      </c>
      <c r="L17" s="9">
        <v>3.9595699999999998</v>
      </c>
      <c r="M17" s="9">
        <v>7.4183599999999998</v>
      </c>
      <c r="N17" s="14">
        <v>11.666399999999999</v>
      </c>
    </row>
    <row r="18" spans="1:27" x14ac:dyDescent="0.2">
      <c r="B18" s="9" t="s">
        <v>18</v>
      </c>
      <c r="C18" s="9">
        <v>22.9</v>
      </c>
      <c r="D18" s="9">
        <v>21.95</v>
      </c>
      <c r="E18" s="9">
        <v>21.75</v>
      </c>
      <c r="F18" s="9">
        <v>24.15</v>
      </c>
      <c r="G18" s="9">
        <v>23.1</v>
      </c>
      <c r="H18" s="9">
        <v>22.75</v>
      </c>
      <c r="I18" s="9">
        <v>20.2</v>
      </c>
      <c r="J18" s="9">
        <v>19.600000000000001</v>
      </c>
      <c r="K18" s="9">
        <v>19.133299999999998</v>
      </c>
      <c r="L18" s="9">
        <v>20.666699999999999</v>
      </c>
      <c r="M18" s="9">
        <v>20.533300000000001</v>
      </c>
      <c r="N18" s="14">
        <v>19.866700000000002</v>
      </c>
    </row>
    <row r="19" spans="1:27" x14ac:dyDescent="0.2">
      <c r="B19" s="9" t="s">
        <v>17</v>
      </c>
      <c r="C19" s="9">
        <v>21.75</v>
      </c>
      <c r="D19" s="9">
        <v>20.149999999999999</v>
      </c>
      <c r="E19" s="9">
        <v>20</v>
      </c>
      <c r="F19" s="9">
        <v>23.25</v>
      </c>
      <c r="G19" s="9">
        <v>21.8</v>
      </c>
      <c r="H19" s="9">
        <v>21.35</v>
      </c>
      <c r="I19" s="9">
        <v>19.2667</v>
      </c>
      <c r="J19" s="9">
        <v>18</v>
      </c>
      <c r="K19" s="9">
        <v>17.8</v>
      </c>
      <c r="L19" s="9">
        <v>19.966699999999999</v>
      </c>
      <c r="M19" s="9">
        <v>18.600000000000001</v>
      </c>
      <c r="N19" s="14">
        <v>18.2333</v>
      </c>
    </row>
    <row r="20" spans="1:27" x14ac:dyDescent="0.2">
      <c r="A20" t="s">
        <v>41</v>
      </c>
      <c r="B20" s="10" t="s">
        <v>5</v>
      </c>
      <c r="C20" s="10">
        <f>($C$11*C14/1000)+$C$12</f>
        <v>5.2454727303E-2</v>
      </c>
      <c r="D20" s="10">
        <f t="shared" ref="D20:H20" si="1">($C$11*D14/1000)+$C$12</f>
        <v>4.6144769886600004E-2</v>
      </c>
      <c r="E20" s="10">
        <f t="shared" si="1"/>
        <v>3.6859385395799998E-2</v>
      </c>
      <c r="F20" s="10">
        <f>($C$11*F14/1000)+$C$12</f>
        <v>0.53839839906600007</v>
      </c>
      <c r="G20" s="10">
        <f t="shared" si="1"/>
        <v>0.41194274840399997</v>
      </c>
      <c r="H20" s="10">
        <f t="shared" si="1"/>
        <v>0.29266916309399998</v>
      </c>
      <c r="I20" s="10">
        <f>($I$11*I14/1000)-$I$12</f>
        <v>6.4630734050031599E-2</v>
      </c>
      <c r="J20" s="10">
        <f t="shared" ref="J20:N20" si="2">($I$11*J14/1000)-$I$12</f>
        <v>5.6499708535199998E-2</v>
      </c>
      <c r="K20" s="10">
        <f t="shared" si="2"/>
        <v>4.8218913951711601E-2</v>
      </c>
      <c r="L20" s="10">
        <f t="shared" si="2"/>
        <v>0.38930989643063996</v>
      </c>
      <c r="M20" s="10">
        <f t="shared" si="2"/>
        <v>0.2772821846649684</v>
      </c>
      <c r="N20" s="10">
        <f>($I$11*N14/1000)-$I$12</f>
        <v>0.20236760684075999</v>
      </c>
      <c r="AA20" s="5"/>
    </row>
    <row r="21" spans="1:27" x14ac:dyDescent="0.2">
      <c r="B21" s="10" t="s">
        <v>6</v>
      </c>
      <c r="C21" s="10">
        <f>($C$8*C15/1000)-$C$9</f>
        <v>1.1042811293570001</v>
      </c>
      <c r="D21" s="10">
        <f t="shared" ref="D21:H21" si="3">($C$8*D15/1000)-$C$9</f>
        <v>1.1124408421354999</v>
      </c>
      <c r="E21" s="10">
        <f t="shared" si="3"/>
        <v>1.1233204591735</v>
      </c>
      <c r="F21" s="10">
        <f t="shared" si="3"/>
        <v>5.0590219226700004</v>
      </c>
      <c r="G21" s="10">
        <f t="shared" si="3"/>
        <v>5.0590219226700004</v>
      </c>
      <c r="H21" s="10">
        <f t="shared" si="3"/>
        <v>5.0590219226700004</v>
      </c>
      <c r="I21" s="10">
        <f>($I$8*I15/1000)-$I$9</f>
        <v>1.0712099579999999</v>
      </c>
      <c r="J21" s="10">
        <f t="shared" ref="J21:N21" si="4">($I$8*J15/1000)-$I$9</f>
        <v>1.0839624575</v>
      </c>
      <c r="K21" s="10">
        <f t="shared" si="4"/>
        <v>1.0865129574000001</v>
      </c>
      <c r="L21" s="10">
        <f t="shared" si="4"/>
        <v>4.7507309770333404</v>
      </c>
      <c r="M21" s="10">
        <f t="shared" si="4"/>
        <v>4.7694348130000002</v>
      </c>
      <c r="N21" s="10">
        <f t="shared" si="4"/>
        <v>4.7872883123000003</v>
      </c>
    </row>
    <row r="22" spans="1:27" x14ac:dyDescent="0.2">
      <c r="B22" s="10" t="s">
        <v>22</v>
      </c>
      <c r="C22" s="10">
        <f>(C21-C20)/58.44</f>
        <v>1.799839839243669E-2</v>
      </c>
      <c r="D22" s="10">
        <f t="shared" ref="D22:H22" si="5">(D21-D20)/58.44</f>
        <v>1.8245997129515742E-2</v>
      </c>
      <c r="E22" s="10">
        <f t="shared" si="5"/>
        <v>1.8591051912691652E-2</v>
      </c>
      <c r="F22" s="10">
        <f t="shared" si="5"/>
        <v>7.7354954202669413E-2</v>
      </c>
      <c r="G22" s="10">
        <f t="shared" si="5"/>
        <v>7.9518808594558538E-2</v>
      </c>
      <c r="H22" s="10">
        <f t="shared" si="5"/>
        <v>8.1559766590965102E-2</v>
      </c>
      <c r="I22" s="10">
        <f>(I21-I20)/95.211</f>
        <v>1.0572089610968987E-2</v>
      </c>
      <c r="J22" s="10">
        <f t="shared" ref="J22:N22" si="6">(J21-J20)/95.211</f>
        <v>1.0791429025688208E-2</v>
      </c>
      <c r="K22" s="10">
        <f t="shared" si="6"/>
        <v>1.0905189982757125E-2</v>
      </c>
      <c r="L22" s="10">
        <f t="shared" si="6"/>
        <v>4.5807953709158612E-2</v>
      </c>
      <c r="M22" s="10">
        <f t="shared" si="6"/>
        <v>4.718102559930084E-2</v>
      </c>
      <c r="N22" s="10">
        <f t="shared" si="6"/>
        <v>4.8155367609406904E-2</v>
      </c>
    </row>
    <row r="23" spans="1:27" ht="17" x14ac:dyDescent="0.2">
      <c r="B23" s="10" t="s">
        <v>20</v>
      </c>
      <c r="C23" s="10">
        <f>(2*C20*0.0821*(C18+273.15))/58.44</f>
        <v>4.3632755909724971E-2</v>
      </c>
      <c r="D23" s="10">
        <f t="shared" ref="D23:H24" si="7">2*D20*0.0821*(D18+273.15)/58.44</f>
        <v>3.8260852252884253E-2</v>
      </c>
      <c r="E23" s="10">
        <f t="shared" si="7"/>
        <v>3.0541179638585849E-2</v>
      </c>
      <c r="F23" s="10">
        <f t="shared" si="7"/>
        <v>0.44974010252822111</v>
      </c>
      <c r="G23" s="10">
        <f t="shared" si="7"/>
        <v>0.34289264269423819</v>
      </c>
      <c r="H23" s="10">
        <f t="shared" si="7"/>
        <v>0.24332396030171621</v>
      </c>
      <c r="I23" s="10">
        <f>3*I20*0.0821*(I18+273.15)/95.211</f>
        <v>4.9045872670279246E-2</v>
      </c>
      <c r="J23" s="10">
        <f t="shared" ref="J23:N23" si="8">3*J20*0.0821*(J18+273.15)/95.211</f>
        <v>4.2787843281000458E-2</v>
      </c>
      <c r="K23" s="10">
        <f t="shared" si="8"/>
        <v>3.6458492872402923E-2</v>
      </c>
      <c r="L23" s="10">
        <f t="shared" si="8"/>
        <v>0.29590288926884201</v>
      </c>
      <c r="M23" s="10">
        <f t="shared" si="8"/>
        <v>0.2106582654516489</v>
      </c>
      <c r="N23" s="10">
        <f t="shared" si="8"/>
        <v>0.1533948058414861</v>
      </c>
    </row>
    <row r="24" spans="1:27" ht="17" x14ac:dyDescent="0.2">
      <c r="B24" s="10" t="s">
        <v>21</v>
      </c>
      <c r="C24" s="10">
        <f>2*C21*0.0821*(C19+273.15)/58.44</f>
        <v>0.91499215141649015</v>
      </c>
      <c r="D24" s="10">
        <f t="shared" si="7"/>
        <v>0.91675214263394544</v>
      </c>
      <c r="E24" s="10">
        <f t="shared" si="7"/>
        <v>0.9252445014719719</v>
      </c>
      <c r="F24" s="10">
        <f t="shared" si="7"/>
        <v>4.2131576124537222</v>
      </c>
      <c r="G24" s="10">
        <f t="shared" si="7"/>
        <v>4.1925466862119611</v>
      </c>
      <c r="H24" s="10">
        <f t="shared" si="7"/>
        <v>4.1861501918610706</v>
      </c>
      <c r="I24" s="10">
        <f>3*I21*0.0821*(I19+273.15)/95.211</f>
        <v>0.81031533553843893</v>
      </c>
      <c r="J24" s="10">
        <f t="shared" ref="J24:N24" si="9">3*J21*0.0821*(J19+273.15)/95.211</f>
        <v>0.81641000932798824</v>
      </c>
      <c r="K24" s="10">
        <f t="shared" si="9"/>
        <v>0.81776883703087933</v>
      </c>
      <c r="L24" s="10">
        <f t="shared" si="9"/>
        <v>3.6022867932656597</v>
      </c>
      <c r="M24" s="10">
        <f t="shared" si="9"/>
        <v>3.5996068314420007</v>
      </c>
      <c r="N24" s="10">
        <f t="shared" si="9"/>
        <v>3.6085400207574798</v>
      </c>
    </row>
    <row r="25" spans="1:27" x14ac:dyDescent="0.2">
      <c r="B25" s="11" t="s">
        <v>14</v>
      </c>
      <c r="C25" s="11">
        <f>EXP(2996*(1/(C19+273)-1/298))</f>
        <v>1.1172328409769297</v>
      </c>
      <c r="D25" s="11">
        <f t="shared" ref="D25:N25" si="10">EXP(2996*(1/(D19+273)-1/298))</f>
        <v>1.1809658296499161</v>
      </c>
      <c r="E25" s="11">
        <f t="shared" si="10"/>
        <v>1.187160946626882</v>
      </c>
      <c r="F25" s="11">
        <f t="shared" si="10"/>
        <v>1.0611878496767186</v>
      </c>
      <c r="G25" s="11">
        <f t="shared" si="10"/>
        <v>1.1153084207568573</v>
      </c>
      <c r="H25" s="11">
        <f t="shared" si="10"/>
        <v>1.1327721076228772</v>
      </c>
      <c r="I25" s="11">
        <f t="shared" si="10"/>
        <v>1.2180119305827781</v>
      </c>
      <c r="J25" s="11">
        <f t="shared" si="10"/>
        <v>1.273592147990261</v>
      </c>
      <c r="K25" s="11">
        <f t="shared" si="10"/>
        <v>1.2826422458902282</v>
      </c>
      <c r="L25" s="11">
        <f t="shared" si="10"/>
        <v>1.1885415285056111</v>
      </c>
      <c r="M25" s="11">
        <f t="shared" si="10"/>
        <v>1.2468958556958085</v>
      </c>
      <c r="N25" s="11">
        <f t="shared" si="10"/>
        <v>1.2631313887042983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7" ht="17" x14ac:dyDescent="0.2">
      <c r="B26" s="10" t="s">
        <v>9</v>
      </c>
      <c r="C26" s="10">
        <f>(C17*60*C16/(18*138/10^4))/C25</f>
        <v>1771.3773978826082</v>
      </c>
      <c r="D26" s="10">
        <f t="shared" ref="D26:N26" si="11">(D17*60*D16/(18*138/10^4))/D25</f>
        <v>2611.3051088178713</v>
      </c>
      <c r="E26" s="10">
        <f t="shared" si="11"/>
        <v>3455.1896052453985</v>
      </c>
      <c r="F26" s="10">
        <f t="shared" si="11"/>
        <v>698.45420123279098</v>
      </c>
      <c r="G26" s="10">
        <f t="shared" si="11"/>
        <v>1560.3679234331255</v>
      </c>
      <c r="H26" s="10">
        <f t="shared" si="11"/>
        <v>2399.9721502216844</v>
      </c>
      <c r="I26" s="10">
        <f t="shared" si="11"/>
        <v>1654.4619444863952</v>
      </c>
      <c r="J26" s="10">
        <f t="shared" si="11"/>
        <v>2412.9549521443892</v>
      </c>
      <c r="K26" s="10">
        <f t="shared" si="11"/>
        <v>3046.3760543941657</v>
      </c>
      <c r="L26" s="10">
        <f t="shared" si="11"/>
        <v>805.01202052465248</v>
      </c>
      <c r="M26" s="10">
        <f t="shared" si="11"/>
        <v>1437.4666840016641</v>
      </c>
      <c r="N26" s="10">
        <f t="shared" si="11"/>
        <v>2231.3920038313045</v>
      </c>
      <c r="O26" s="16"/>
      <c r="P26" s="16"/>
      <c r="Q26" s="16"/>
      <c r="R26" s="16"/>
      <c r="S26" s="16"/>
      <c r="U26" s="16"/>
      <c r="V26" s="16"/>
      <c r="W26" s="16"/>
      <c r="X26" s="16"/>
      <c r="Y26" s="16"/>
      <c r="Z26" s="16"/>
    </row>
    <row r="27" spans="1:27" ht="17" x14ac:dyDescent="0.2">
      <c r="B27" s="10" t="s">
        <v>10</v>
      </c>
      <c r="C27" s="10">
        <f>C26*18.016*C20/(58.11*0.99705*1000)</f>
        <v>2.8892577870041781E-2</v>
      </c>
      <c r="D27" s="10">
        <f>D26*18.016*D20/(58.11*0.99705*1000)</f>
        <v>3.7468875800639373E-2</v>
      </c>
      <c r="E27" s="10">
        <f t="shared" ref="E27:N27" si="12">E26*18.016*E20/(58.11*0.99705*1000)</f>
        <v>3.9601399478657262E-2</v>
      </c>
      <c r="F27" s="10">
        <f t="shared" si="12"/>
        <v>0.11693169732390213</v>
      </c>
      <c r="G27" s="10">
        <f t="shared" si="12"/>
        <v>0.19987314034365786</v>
      </c>
      <c r="H27" s="10">
        <f t="shared" si="12"/>
        <v>0.21841060792438111</v>
      </c>
      <c r="I27" s="10">
        <f t="shared" si="12"/>
        <v>3.3249600418271415E-2</v>
      </c>
      <c r="J27" s="10">
        <f t="shared" si="12"/>
        <v>4.2392202533683858E-2</v>
      </c>
      <c r="K27" s="10">
        <f t="shared" si="12"/>
        <v>4.567636106418025E-2</v>
      </c>
      <c r="L27" s="10">
        <f t="shared" si="12"/>
        <v>9.7451464273350677E-2</v>
      </c>
      <c r="M27" s="10">
        <f t="shared" si="12"/>
        <v>0.12393966413371647</v>
      </c>
      <c r="N27" s="10">
        <f t="shared" si="12"/>
        <v>0.14041303550269207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7" ht="17" x14ac:dyDescent="0.2">
      <c r="B28" s="10" t="s">
        <v>11</v>
      </c>
      <c r="C28" s="10">
        <f>C26/((C13/14.6959)-(C24-C23)*C27)</f>
        <v>348.81386287173586</v>
      </c>
      <c r="D28" s="10">
        <f>D26/((D13/14.6959)-(D24-D23)*D27)</f>
        <v>335.10940611087904</v>
      </c>
      <c r="E28" s="10">
        <f t="shared" ref="E28:N28" si="13">E26/((E13/14.6959)-(E24-E23)*E27)</f>
        <v>328.6985389497994</v>
      </c>
      <c r="F28" s="10">
        <f>F26/((F13/14.6959)-(F24-F23)*F27)</f>
        <v>149.7735528596418</v>
      </c>
      <c r="G28" s="10">
        <f t="shared" si="13"/>
        <v>221.14467256614049</v>
      </c>
      <c r="H28" s="10">
        <f t="shared" si="13"/>
        <v>247.77731524411124</v>
      </c>
      <c r="I28" s="10">
        <f t="shared" si="13"/>
        <v>325.79998358714028</v>
      </c>
      <c r="J28" s="10">
        <f t="shared" si="13"/>
        <v>309.65029359760052</v>
      </c>
      <c r="K28" s="10">
        <f t="shared" si="13"/>
        <v>289.81440989905116</v>
      </c>
      <c r="L28" s="10">
        <f t="shared" si="13"/>
        <v>168.36844692829843</v>
      </c>
      <c r="M28" s="10">
        <f t="shared" si="13"/>
        <v>194.11357684861395</v>
      </c>
      <c r="N28" s="10">
        <f t="shared" si="13"/>
        <v>221.76399783282272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7" ht="17" x14ac:dyDescent="0.2">
      <c r="B29" s="10" t="s">
        <v>12</v>
      </c>
      <c r="C29" s="10">
        <f>C27/C22</f>
        <v>1.6052860504623043</v>
      </c>
      <c r="D29" s="10">
        <f t="shared" ref="D29:N29" si="14">D27/D22</f>
        <v>2.0535394988102693</v>
      </c>
      <c r="E29" s="10">
        <f t="shared" si="14"/>
        <v>2.1301322628023196</v>
      </c>
      <c r="F29" s="10">
        <f t="shared" si="14"/>
        <v>1.5116251897395212</v>
      </c>
      <c r="G29" s="10">
        <f t="shared" si="14"/>
        <v>2.5135328845625482</v>
      </c>
      <c r="H29" s="10">
        <f t="shared" si="14"/>
        <v>2.6779209535964497</v>
      </c>
      <c r="I29" s="10">
        <f t="shared" si="14"/>
        <v>3.145035810496116</v>
      </c>
      <c r="J29" s="10">
        <f t="shared" si="14"/>
        <v>3.928321488541723</v>
      </c>
      <c r="K29" s="10">
        <f t="shared" si="14"/>
        <v>4.1884975077373241</v>
      </c>
      <c r="L29" s="10">
        <f t="shared" si="14"/>
        <v>2.127391782049123</v>
      </c>
      <c r="M29" s="10">
        <f t="shared" si="14"/>
        <v>2.6268963541893227</v>
      </c>
      <c r="N29" s="10">
        <f t="shared" si="14"/>
        <v>2.9158335295370708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7" x14ac:dyDescent="0.2">
      <c r="B30" s="10" t="s">
        <v>34</v>
      </c>
      <c r="C30" s="10">
        <f>(C17/3785.41)*100</f>
        <v>0.21643098105621322</v>
      </c>
      <c r="D30" s="10">
        <f>(D17/3785.41)*100</f>
        <v>0.33725805130752023</v>
      </c>
      <c r="E30" s="10">
        <f t="shared" ref="E30:N30" si="15">(E17/3785.41)*100</f>
        <v>0.44859341524431967</v>
      </c>
      <c r="F30" s="10">
        <f t="shared" si="15"/>
        <v>8.1018436576222916E-2</v>
      </c>
      <c r="G30" s="10">
        <f t="shared" si="15"/>
        <v>0.19025257501829393</v>
      </c>
      <c r="H30" s="10">
        <f t="shared" si="15"/>
        <v>0.29724124995707202</v>
      </c>
      <c r="I30" s="10">
        <f t="shared" si="15"/>
        <v>0.22037771337847156</v>
      </c>
      <c r="J30" s="10">
        <f t="shared" si="15"/>
        <v>0.33607984339873354</v>
      </c>
      <c r="K30" s="10">
        <f t="shared" si="15"/>
        <v>0.42732227156371433</v>
      </c>
      <c r="L30" s="10">
        <f t="shared" si="15"/>
        <v>0.10460082263215872</v>
      </c>
      <c r="M30" s="10">
        <f t="shared" si="15"/>
        <v>0.19597243099162309</v>
      </c>
      <c r="N30" s="10">
        <f t="shared" si="15"/>
        <v>0.30819382840960424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7" ht="17" x14ac:dyDescent="0.2">
      <c r="B31" s="10" t="s">
        <v>13</v>
      </c>
      <c r="C31" s="10">
        <f>1-C20/C21</f>
        <v>0.95249875606083811</v>
      </c>
      <c r="D31" s="10">
        <f t="shared" ref="D31:N31" si="16">1-D20/D21</f>
        <v>0.95851934939927408</v>
      </c>
      <c r="E31" s="10">
        <f t="shared" si="16"/>
        <v>0.96718711468771801</v>
      </c>
      <c r="F31" s="10">
        <f t="shared" si="16"/>
        <v>0.89357658312303778</v>
      </c>
      <c r="G31" s="10">
        <f t="shared" si="16"/>
        <v>0.91857265006936584</v>
      </c>
      <c r="H31" s="10">
        <f t="shared" si="16"/>
        <v>0.94214906209784954</v>
      </c>
      <c r="I31" s="10">
        <f t="shared" si="16"/>
        <v>0.93966567098507914</v>
      </c>
      <c r="J31" s="10">
        <f t="shared" si="16"/>
        <v>0.94787669245897288</v>
      </c>
      <c r="K31" s="10">
        <f t="shared" si="16"/>
        <v>0.95562048880935735</v>
      </c>
      <c r="L31" s="10">
        <f t="shared" si="16"/>
        <v>0.91805263267638237</v>
      </c>
      <c r="M31" s="10">
        <f t="shared" si="16"/>
        <v>0.94186267439714588</v>
      </c>
      <c r="N31" s="10">
        <f t="shared" si="16"/>
        <v>0.95772813466846851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16" thickBo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">
      <c r="C37" s="31"/>
      <c r="D37" s="27" t="s">
        <v>54</v>
      </c>
      <c r="E37" s="27"/>
      <c r="F37" s="27"/>
      <c r="G37" s="28"/>
    </row>
    <row r="38" spans="2:14" x14ac:dyDescent="0.2">
      <c r="C38" s="32"/>
      <c r="D38" s="29" t="s">
        <v>49</v>
      </c>
      <c r="E38" s="29"/>
      <c r="F38" s="29" t="s">
        <v>52</v>
      </c>
      <c r="G38" s="30"/>
    </row>
    <row r="39" spans="2:14" x14ac:dyDescent="0.2">
      <c r="C39" s="32" t="s">
        <v>53</v>
      </c>
      <c r="D39" s="33" t="s">
        <v>50</v>
      </c>
      <c r="E39" s="33" t="s">
        <v>51</v>
      </c>
      <c r="F39" s="33" t="s">
        <v>50</v>
      </c>
      <c r="G39" s="34" t="s">
        <v>51</v>
      </c>
    </row>
    <row r="40" spans="2:14" x14ac:dyDescent="0.2">
      <c r="C40" s="32">
        <v>75</v>
      </c>
      <c r="D40" s="35" cm="1">
        <f t="array" ref="D40:D42">TRANSPOSE(C17:E17)</f>
        <v>8.1928000000000001</v>
      </c>
      <c r="E40" s="35" cm="1">
        <f t="array" ref="E40:E42">TRANSPOSE(F17:H17)</f>
        <v>3.0668799999999998</v>
      </c>
      <c r="F40" s="35" cm="1">
        <f t="array" ref="F40:F42">TRANSPOSE(I17:K17)</f>
        <v>8.3422000000000001</v>
      </c>
      <c r="G40" s="36" cm="1">
        <f t="array" ref="G40:G42">TRANSPOSE(L17:N17)</f>
        <v>3.9595699999999998</v>
      </c>
    </row>
    <row r="41" spans="2:14" x14ac:dyDescent="0.2">
      <c r="C41" s="32">
        <v>115</v>
      </c>
      <c r="D41" s="35">
        <v>12.7666</v>
      </c>
      <c r="E41" s="35">
        <v>7.2018399999999998</v>
      </c>
      <c r="F41" s="35">
        <v>12.722</v>
      </c>
      <c r="G41" s="36">
        <v>7.4183599999999998</v>
      </c>
    </row>
    <row r="42" spans="2:14" ht="16" thickBot="1" x14ac:dyDescent="0.25">
      <c r="C42" s="37">
        <v>155</v>
      </c>
      <c r="D42" s="38">
        <v>16.981100000000001</v>
      </c>
      <c r="E42" s="38">
        <v>11.251799999999999</v>
      </c>
      <c r="F42" s="38">
        <v>16.175899999999999</v>
      </c>
      <c r="G42" s="39">
        <v>11.666399999999999</v>
      </c>
    </row>
    <row r="45" spans="2:14" x14ac:dyDescent="0.2">
      <c r="D45" t="s">
        <v>54</v>
      </c>
    </row>
  </sheetData>
  <mergeCells count="47">
    <mergeCell ref="D38:E38"/>
    <mergeCell ref="F38:G38"/>
    <mergeCell ref="D37:G37"/>
    <mergeCell ref="I12:K12"/>
    <mergeCell ref="L12:N12"/>
    <mergeCell ref="I8:K8"/>
    <mergeCell ref="L8:N8"/>
    <mergeCell ref="I9:K9"/>
    <mergeCell ref="L9:N9"/>
    <mergeCell ref="I11:K11"/>
    <mergeCell ref="L11:N11"/>
    <mergeCell ref="F8:H8"/>
    <mergeCell ref="F9:H9"/>
    <mergeCell ref="C11:E11"/>
    <mergeCell ref="F11:H11"/>
    <mergeCell ref="C12:E12"/>
    <mergeCell ref="F12:H12"/>
    <mergeCell ref="C8:E8"/>
    <mergeCell ref="C9:E9"/>
    <mergeCell ref="O3:T3"/>
    <mergeCell ref="U5:W5"/>
    <mergeCell ref="U3:Z3"/>
    <mergeCell ref="X12:Z12"/>
    <mergeCell ref="X11:Z11"/>
    <mergeCell ref="X9:Z9"/>
    <mergeCell ref="X8:Z8"/>
    <mergeCell ref="X5:Z5"/>
    <mergeCell ref="O11:Q11"/>
    <mergeCell ref="U11:W11"/>
    <mergeCell ref="O12:Q12"/>
    <mergeCell ref="U12:W12"/>
    <mergeCell ref="O5:Q5"/>
    <mergeCell ref="R5:T5"/>
    <mergeCell ref="R8:T8"/>
    <mergeCell ref="R9:T9"/>
    <mergeCell ref="I3:N3"/>
    <mergeCell ref="I5:K5"/>
    <mergeCell ref="L5:N5"/>
    <mergeCell ref="C3:H3"/>
    <mergeCell ref="C5:E5"/>
    <mergeCell ref="F5:H5"/>
    <mergeCell ref="R11:T11"/>
    <mergeCell ref="R12:T12"/>
    <mergeCell ref="O8:Q8"/>
    <mergeCell ref="O9:Q9"/>
    <mergeCell ref="U8:W8"/>
    <mergeCell ref="U9:W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4F35-824B-8748-8932-58082859B0BD}">
  <dimension ref="A1:D13"/>
  <sheetViews>
    <sheetView workbookViewId="0">
      <selection activeCell="D2" sqref="D2:D13"/>
    </sheetView>
  </sheetViews>
  <sheetFormatPr baseColWidth="10" defaultRowHeight="15" x14ac:dyDescent="0.2"/>
  <sheetData>
    <row r="1" spans="1:4" x14ac:dyDescent="0.2">
      <c r="A1" t="s">
        <v>44</v>
      </c>
      <c r="B1" t="str" cm="1">
        <f t="array" ref="B1:B13">fluxVsPressure!C1:C13</f>
        <v>Transmembrane Pressure drop, kPa</v>
      </c>
      <c r="C1" t="str" cm="1">
        <f t="array" ref="C1:C13">TRANSPOSE(Sheet1!B30:N30)</f>
        <v xml:space="preserve">% Recovery </v>
      </c>
      <c r="D1" t="s">
        <v>48</v>
      </c>
    </row>
    <row r="2" spans="1:4" x14ac:dyDescent="0.2">
      <c r="A2">
        <v>1</v>
      </c>
      <c r="B2">
        <v>517.10679698837248</v>
      </c>
      <c r="C2">
        <v>0.21643098105621322</v>
      </c>
      <c r="D2">
        <f>C2*100</f>
        <v>21.643098105621323</v>
      </c>
    </row>
    <row r="3" spans="1:4" x14ac:dyDescent="0.2">
      <c r="A3">
        <v>1</v>
      </c>
      <c r="B3">
        <v>792.89708871550454</v>
      </c>
      <c r="C3">
        <v>0.33725805130752023</v>
      </c>
      <c r="D3">
        <f t="shared" ref="D3:D13" si="0">C3*100</f>
        <v>33.725805130752022</v>
      </c>
    </row>
    <row r="4" spans="1:4" x14ac:dyDescent="0.2">
      <c r="A4">
        <v>1</v>
      </c>
      <c r="B4">
        <v>1068.6873804426366</v>
      </c>
      <c r="C4">
        <v>0.44859341524431967</v>
      </c>
      <c r="D4">
        <f t="shared" si="0"/>
        <v>44.859341524431969</v>
      </c>
    </row>
    <row r="5" spans="1:4" x14ac:dyDescent="0.2">
      <c r="A5">
        <v>2</v>
      </c>
      <c r="B5">
        <v>517.10679698837248</v>
      </c>
      <c r="C5">
        <v>8.1018436576222916E-2</v>
      </c>
      <c r="D5">
        <f t="shared" si="0"/>
        <v>8.1018436576222914</v>
      </c>
    </row>
    <row r="6" spans="1:4" x14ac:dyDescent="0.2">
      <c r="A6">
        <v>2</v>
      </c>
      <c r="B6">
        <v>792.89708871550454</v>
      </c>
      <c r="C6">
        <v>0.19025257501829393</v>
      </c>
      <c r="D6">
        <f t="shared" si="0"/>
        <v>19.025257501829394</v>
      </c>
    </row>
    <row r="7" spans="1:4" x14ac:dyDescent="0.2">
      <c r="A7">
        <v>2</v>
      </c>
      <c r="B7">
        <v>1068.6873804426366</v>
      </c>
      <c r="C7">
        <v>0.29724124995707202</v>
      </c>
      <c r="D7">
        <f t="shared" si="0"/>
        <v>29.7241249957072</v>
      </c>
    </row>
    <row r="8" spans="1:4" x14ac:dyDescent="0.2">
      <c r="A8">
        <v>3</v>
      </c>
      <c r="B8">
        <v>517.10679698837248</v>
      </c>
      <c r="C8">
        <v>0.22037771337847156</v>
      </c>
      <c r="D8">
        <f t="shared" si="0"/>
        <v>22.037771337847158</v>
      </c>
    </row>
    <row r="9" spans="1:4" x14ac:dyDescent="0.2">
      <c r="A9">
        <v>3</v>
      </c>
      <c r="B9">
        <v>792.89708871550454</v>
      </c>
      <c r="C9">
        <v>0.33607984339873354</v>
      </c>
      <c r="D9">
        <f t="shared" si="0"/>
        <v>33.607984339873354</v>
      </c>
    </row>
    <row r="10" spans="1:4" x14ac:dyDescent="0.2">
      <c r="A10">
        <v>3</v>
      </c>
      <c r="B10">
        <v>1068.6873804426366</v>
      </c>
      <c r="C10">
        <v>0.42732227156371433</v>
      </c>
      <c r="D10">
        <f t="shared" si="0"/>
        <v>42.73222715637143</v>
      </c>
    </row>
    <row r="11" spans="1:4" x14ac:dyDescent="0.2">
      <c r="A11">
        <v>4</v>
      </c>
      <c r="B11">
        <v>517.10679698837248</v>
      </c>
      <c r="C11">
        <v>0.10460082263215872</v>
      </c>
      <c r="D11">
        <f t="shared" si="0"/>
        <v>10.460082263215872</v>
      </c>
    </row>
    <row r="12" spans="1:4" x14ac:dyDescent="0.2">
      <c r="A12">
        <v>4</v>
      </c>
      <c r="B12">
        <v>792.89708871550454</v>
      </c>
      <c r="C12">
        <v>0.19597243099162309</v>
      </c>
      <c r="D12">
        <f t="shared" si="0"/>
        <v>19.597243099162309</v>
      </c>
    </row>
    <row r="13" spans="1:4" x14ac:dyDescent="0.2">
      <c r="A13">
        <v>4</v>
      </c>
      <c r="B13">
        <v>1068.6873804426366</v>
      </c>
      <c r="C13">
        <v>0.30819382840960424</v>
      </c>
      <c r="D13">
        <f t="shared" si="0"/>
        <v>30.819382840960426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4BF0-FC9E-1649-B74A-1D2D26E94D1A}">
  <dimension ref="A1:G13"/>
  <sheetViews>
    <sheetView zoomScale="140" zoomScaleNormal="140" workbookViewId="0">
      <selection activeCell="A13" sqref="A1:A13"/>
    </sheetView>
  </sheetViews>
  <sheetFormatPr baseColWidth="10" defaultRowHeight="15" x14ac:dyDescent="0.2"/>
  <cols>
    <col min="1" max="4" width="19.5" customWidth="1"/>
    <col min="5" max="5" width="18" customWidth="1"/>
    <col min="6" max="6" width="18.33203125" customWidth="1"/>
    <col min="7" max="7" width="19.83203125" customWidth="1"/>
  </cols>
  <sheetData>
    <row r="1" spans="1:7" ht="32" x14ac:dyDescent="0.2">
      <c r="A1" t="s">
        <v>44</v>
      </c>
      <c r="B1" s="18" t="str" cm="1">
        <f t="array" ref="B1:B13">TRANSPOSE(Sheet1!B13:N13)</f>
        <v>Transmembrane Pressure drop, psi</v>
      </c>
      <c r="C1" s="18" t="s">
        <v>43</v>
      </c>
      <c r="D1" s="18" t="str" cm="1">
        <f t="array" ref="D1:D13">TRANSPOSE(Sheet1!B26:N26)</f>
        <v>Water Flux corrected to 25°C Jw, mol/m^2-hr</v>
      </c>
      <c r="E1" s="18" t="s">
        <v>42</v>
      </c>
    </row>
    <row r="2" spans="1:7" x14ac:dyDescent="0.2">
      <c r="A2">
        <v>1</v>
      </c>
      <c r="B2">
        <v>75</v>
      </c>
      <c r="C2">
        <f>B2*6894.7572931783/1000</f>
        <v>517.10679698837248</v>
      </c>
      <c r="D2">
        <v>1771.3773978826082</v>
      </c>
      <c r="E2">
        <f>((D2*18.016)/'water density'!$E$8)/1000</f>
        <v>32.007557494862908</v>
      </c>
    </row>
    <row r="3" spans="1:7" x14ac:dyDescent="0.2">
      <c r="A3">
        <v>1</v>
      </c>
      <c r="B3">
        <v>115</v>
      </c>
      <c r="C3">
        <f t="shared" ref="C3:C13" si="0">B3*6894.7572931783/1000</f>
        <v>792.89708871550454</v>
      </c>
      <c r="D3">
        <v>2611.3051088178713</v>
      </c>
      <c r="E3">
        <f>((D3*18.016)/'water density'!$E$8)/1000</f>
        <v>47.184467018166352</v>
      </c>
    </row>
    <row r="4" spans="1:7" x14ac:dyDescent="0.2">
      <c r="A4">
        <v>1</v>
      </c>
      <c r="B4">
        <v>155</v>
      </c>
      <c r="C4">
        <f t="shared" si="0"/>
        <v>1068.6873804426366</v>
      </c>
      <c r="D4">
        <v>3455.1896052453985</v>
      </c>
      <c r="E4">
        <f>((D4*18.016)/'water density'!$E$8)/1000</f>
        <v>62.432872903165432</v>
      </c>
    </row>
    <row r="5" spans="1:7" x14ac:dyDescent="0.2">
      <c r="A5">
        <v>2</v>
      </c>
      <c r="B5">
        <v>75</v>
      </c>
      <c r="C5">
        <f t="shared" si="0"/>
        <v>517.10679698837248</v>
      </c>
      <c r="D5">
        <v>698.45420123279098</v>
      </c>
      <c r="E5">
        <f>((D5*18.016)/'water density'!$E$8)/1000</f>
        <v>12.620581605145141</v>
      </c>
    </row>
    <row r="6" spans="1:7" x14ac:dyDescent="0.2">
      <c r="A6">
        <v>2</v>
      </c>
      <c r="B6">
        <v>115</v>
      </c>
      <c r="C6">
        <f t="shared" si="0"/>
        <v>792.89708871550454</v>
      </c>
      <c r="D6">
        <v>1560.3679234331255</v>
      </c>
      <c r="E6">
        <f>((D6*18.016)/'water density'!$E$8)/1000</f>
        <v>28.194763059596998</v>
      </c>
    </row>
    <row r="7" spans="1:7" x14ac:dyDescent="0.2">
      <c r="A7">
        <v>2</v>
      </c>
      <c r="B7">
        <v>155</v>
      </c>
      <c r="C7">
        <f t="shared" si="0"/>
        <v>1068.6873804426366</v>
      </c>
      <c r="D7">
        <v>2399.9721502216844</v>
      </c>
      <c r="E7">
        <f>((D7*18.016)/'water density'!$E$8)/1000</f>
        <v>43.365827449369505</v>
      </c>
    </row>
    <row r="8" spans="1:7" ht="38" customHeight="1" x14ac:dyDescent="0.2">
      <c r="A8">
        <v>3</v>
      </c>
      <c r="B8">
        <v>75</v>
      </c>
      <c r="C8">
        <f t="shared" si="0"/>
        <v>517.10679698837248</v>
      </c>
      <c r="D8">
        <v>1654.4619444863952</v>
      </c>
      <c r="E8">
        <f>((D8*18.016)/'water density'!$E$8)/1000</f>
        <v>29.894976572756523</v>
      </c>
      <c r="G8" s="18"/>
    </row>
    <row r="9" spans="1:7" x14ac:dyDescent="0.2">
      <c r="A9">
        <v>3</v>
      </c>
      <c r="B9">
        <v>115</v>
      </c>
      <c r="C9">
        <f t="shared" si="0"/>
        <v>792.89708871550454</v>
      </c>
      <c r="D9">
        <v>2412.9549521443892</v>
      </c>
      <c r="E9">
        <f>((D9*18.016)/'water density'!$E$8)/1000</f>
        <v>43.600417649900521</v>
      </c>
    </row>
    <row r="10" spans="1:7" x14ac:dyDescent="0.2">
      <c r="A10">
        <v>3</v>
      </c>
      <c r="B10">
        <v>155</v>
      </c>
      <c r="C10">
        <f t="shared" si="0"/>
        <v>1068.6873804426366</v>
      </c>
      <c r="D10">
        <v>3046.3760543941657</v>
      </c>
      <c r="E10">
        <f>((D10*18.016)/'water density'!$E$8)/1000</f>
        <v>55.04589639031672</v>
      </c>
    </row>
    <row r="11" spans="1:7" x14ac:dyDescent="0.2">
      <c r="A11">
        <v>4</v>
      </c>
      <c r="B11">
        <v>75</v>
      </c>
      <c r="C11">
        <f t="shared" si="0"/>
        <v>517.10679698837248</v>
      </c>
      <c r="D11">
        <v>805.01202052465248</v>
      </c>
      <c r="E11">
        <f>((D11*18.016)/'water density'!$E$8)/1000</f>
        <v>14.546007283257747</v>
      </c>
    </row>
    <row r="12" spans="1:7" x14ac:dyDescent="0.2">
      <c r="A12">
        <v>4</v>
      </c>
      <c r="B12">
        <v>115</v>
      </c>
      <c r="C12">
        <f t="shared" si="0"/>
        <v>792.89708871550454</v>
      </c>
      <c r="D12">
        <v>1437.4666840016641</v>
      </c>
      <c r="E12">
        <f>((D12*18.016)/'water density'!$E$8)/1000</f>
        <v>25.974023147258389</v>
      </c>
    </row>
    <row r="13" spans="1:7" x14ac:dyDescent="0.2">
      <c r="A13">
        <v>4</v>
      </c>
      <c r="B13">
        <v>155</v>
      </c>
      <c r="C13">
        <f t="shared" si="0"/>
        <v>1068.6873804426366</v>
      </c>
      <c r="D13">
        <v>2231.3920038313045</v>
      </c>
      <c r="E13">
        <f>((D13*18.016)/'water density'!$E$8)/1000</f>
        <v>40.319701460332752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2749-D02D-4E4E-8932-C02A790ACEB4}">
  <dimension ref="A1:J13"/>
  <sheetViews>
    <sheetView zoomScale="160" zoomScaleNormal="160" workbookViewId="0">
      <selection activeCell="J2" sqref="J2:J4"/>
    </sheetView>
  </sheetViews>
  <sheetFormatPr baseColWidth="10" defaultRowHeight="15" x14ac:dyDescent="0.2"/>
  <cols>
    <col min="2" max="7" width="15.33203125" customWidth="1"/>
  </cols>
  <sheetData>
    <row r="1" spans="1:10" ht="64" x14ac:dyDescent="0.2">
      <c r="A1" t="s">
        <v>44</v>
      </c>
      <c r="B1" s="18" t="str" cm="1">
        <f t="array" ref="B1:B13">TRANSPOSE(Sheet1!B13:N13)</f>
        <v>Transmembrane Pressure drop, psi</v>
      </c>
      <c r="C1" s="18" t="s">
        <v>43</v>
      </c>
      <c r="D1" s="18" t="str" cm="1">
        <f t="array" ref="D1:D13">TRANSPOSE(Sheet1!B24:N24)</f>
        <v>Feed Osmotic pressure, pf (atm)</v>
      </c>
      <c r="E1" s="18" t="s">
        <v>45</v>
      </c>
      <c r="F1" s="18" t="str" cm="1">
        <f t="array" ref="F1:F13">TRANSPOSE(Sheet1!B23:N23)</f>
        <v>Permeate Osmotic pressure, pp (atm)</v>
      </c>
      <c r="G1" s="18" t="s">
        <v>45</v>
      </c>
      <c r="H1" s="18" t="s">
        <v>46</v>
      </c>
      <c r="I1" s="18" t="s">
        <v>47</v>
      </c>
      <c r="J1" t="str" cm="1">
        <f t="array" ref="J1:J13">fluxVsPressure!E1:E13</f>
        <v>Water Flux corrected to 25°C Jw, L/m^2-hr</v>
      </c>
    </row>
    <row r="2" spans="1:10" x14ac:dyDescent="0.2">
      <c r="A2">
        <v>1</v>
      </c>
      <c r="B2">
        <v>75</v>
      </c>
      <c r="C2">
        <f>B2*6894.7572931783/1000</f>
        <v>517.10679698837248</v>
      </c>
      <c r="D2">
        <v>0.91499215141649015</v>
      </c>
      <c r="E2">
        <f>D2*101.325</f>
        <v>92.711579742275873</v>
      </c>
      <c r="F2">
        <v>4.3632755909724971E-2</v>
      </c>
      <c r="G2">
        <f>F2*101.325</f>
        <v>4.4210889925528827</v>
      </c>
      <c r="H2">
        <f>E2-G2</f>
        <v>88.290490749722991</v>
      </c>
      <c r="I2">
        <f>C2-H2</f>
        <v>428.81630623864947</v>
      </c>
      <c r="J2">
        <v>32.007557494862908</v>
      </c>
    </row>
    <row r="3" spans="1:10" x14ac:dyDescent="0.2">
      <c r="A3">
        <v>1</v>
      </c>
      <c r="B3">
        <v>115</v>
      </c>
      <c r="C3">
        <f t="shared" ref="C3:C13" si="0">B3*6894.7572931783/1000</f>
        <v>792.89708871550454</v>
      </c>
      <c r="D3">
        <v>0.91675214263394544</v>
      </c>
      <c r="E3">
        <f t="shared" ref="E3:E13" si="1">D3*101.325</f>
        <v>92.889910852384531</v>
      </c>
      <c r="F3">
        <v>3.8260852252884253E-2</v>
      </c>
      <c r="G3">
        <f t="shared" ref="G3:G13" si="2">F3*101.325</f>
        <v>3.876780854523497</v>
      </c>
      <c r="H3">
        <f t="shared" ref="H3:H13" si="3">E3-G3</f>
        <v>89.013129997861029</v>
      </c>
      <c r="I3">
        <f t="shared" ref="I3:I13" si="4">C3-H3</f>
        <v>703.88395871764351</v>
      </c>
      <c r="J3">
        <v>47.184467018166352</v>
      </c>
    </row>
    <row r="4" spans="1:10" x14ac:dyDescent="0.2">
      <c r="A4">
        <v>1</v>
      </c>
      <c r="B4">
        <v>155</v>
      </c>
      <c r="C4">
        <f t="shared" si="0"/>
        <v>1068.6873804426366</v>
      </c>
      <c r="D4">
        <v>0.9252445014719719</v>
      </c>
      <c r="E4">
        <f t="shared" si="1"/>
        <v>93.750399111647553</v>
      </c>
      <c r="F4">
        <v>3.0541179638585849E-2</v>
      </c>
      <c r="G4">
        <f t="shared" si="2"/>
        <v>3.0945850268797113</v>
      </c>
      <c r="H4">
        <f t="shared" si="3"/>
        <v>90.65581408476784</v>
      </c>
      <c r="I4">
        <f t="shared" si="4"/>
        <v>978.03156635786877</v>
      </c>
      <c r="J4">
        <v>62.432872903165432</v>
      </c>
    </row>
    <row r="5" spans="1:10" x14ac:dyDescent="0.2">
      <c r="A5">
        <v>2</v>
      </c>
      <c r="B5">
        <v>75</v>
      </c>
      <c r="C5">
        <f t="shared" si="0"/>
        <v>517.10679698837248</v>
      </c>
      <c r="D5">
        <v>4.2131576124537222</v>
      </c>
      <c r="E5">
        <f t="shared" si="1"/>
        <v>426.89819508187344</v>
      </c>
      <c r="F5">
        <v>0.44974010252822111</v>
      </c>
      <c r="G5">
        <f t="shared" si="2"/>
        <v>45.569915888672007</v>
      </c>
      <c r="H5">
        <f t="shared" si="3"/>
        <v>381.32827919320141</v>
      </c>
      <c r="I5">
        <f t="shared" si="4"/>
        <v>135.77851779517107</v>
      </c>
      <c r="J5">
        <v>12.620581605145141</v>
      </c>
    </row>
    <row r="6" spans="1:10" x14ac:dyDescent="0.2">
      <c r="A6">
        <v>2</v>
      </c>
      <c r="B6">
        <v>115</v>
      </c>
      <c r="C6">
        <f t="shared" si="0"/>
        <v>792.89708871550454</v>
      </c>
      <c r="D6">
        <v>4.1925466862119611</v>
      </c>
      <c r="E6">
        <f t="shared" si="1"/>
        <v>424.80979298042695</v>
      </c>
      <c r="F6">
        <v>0.34289264269423819</v>
      </c>
      <c r="G6">
        <f t="shared" si="2"/>
        <v>34.743597020993683</v>
      </c>
      <c r="H6">
        <f t="shared" si="3"/>
        <v>390.06619595943329</v>
      </c>
      <c r="I6">
        <f t="shared" si="4"/>
        <v>402.83089275607125</v>
      </c>
      <c r="J6">
        <v>28.194763059596998</v>
      </c>
    </row>
    <row r="7" spans="1:10" x14ac:dyDescent="0.2">
      <c r="A7">
        <v>2</v>
      </c>
      <c r="B7">
        <v>155</v>
      </c>
      <c r="C7">
        <f t="shared" si="0"/>
        <v>1068.6873804426366</v>
      </c>
      <c r="D7">
        <v>4.1861501918610706</v>
      </c>
      <c r="E7">
        <f t="shared" si="1"/>
        <v>424.16166819032298</v>
      </c>
      <c r="F7">
        <v>0.24332396030171621</v>
      </c>
      <c r="G7">
        <f t="shared" si="2"/>
        <v>24.654800277571397</v>
      </c>
      <c r="H7">
        <f t="shared" si="3"/>
        <v>399.5068679127516</v>
      </c>
      <c r="I7">
        <f t="shared" si="4"/>
        <v>669.18051252988494</v>
      </c>
      <c r="J7">
        <v>43.365827449369505</v>
      </c>
    </row>
    <row r="8" spans="1:10" x14ac:dyDescent="0.2">
      <c r="A8">
        <v>3</v>
      </c>
      <c r="B8">
        <v>75</v>
      </c>
      <c r="C8">
        <f t="shared" si="0"/>
        <v>517.10679698837248</v>
      </c>
      <c r="D8">
        <v>0.81031533553843893</v>
      </c>
      <c r="E8">
        <f t="shared" si="1"/>
        <v>82.105201373432322</v>
      </c>
      <c r="F8">
        <v>4.9045872670279246E-2</v>
      </c>
      <c r="G8">
        <f t="shared" si="2"/>
        <v>4.969573048316045</v>
      </c>
      <c r="H8">
        <f t="shared" si="3"/>
        <v>77.135628325116272</v>
      </c>
      <c r="I8">
        <f t="shared" si="4"/>
        <v>439.97116866325621</v>
      </c>
      <c r="J8">
        <v>29.894976572756523</v>
      </c>
    </row>
    <row r="9" spans="1:10" x14ac:dyDescent="0.2">
      <c r="A9">
        <v>3</v>
      </c>
      <c r="B9">
        <v>115</v>
      </c>
      <c r="C9">
        <f t="shared" si="0"/>
        <v>792.89708871550454</v>
      </c>
      <c r="D9">
        <v>0.81641000932798824</v>
      </c>
      <c r="E9">
        <f t="shared" si="1"/>
        <v>82.722744195158413</v>
      </c>
      <c r="F9">
        <v>4.2787843281000458E-2</v>
      </c>
      <c r="G9">
        <f t="shared" si="2"/>
        <v>4.3354782204473716</v>
      </c>
      <c r="H9">
        <f t="shared" si="3"/>
        <v>78.387265974711042</v>
      </c>
      <c r="I9">
        <f t="shared" si="4"/>
        <v>714.50982274079354</v>
      </c>
      <c r="J9">
        <v>43.600417649900521</v>
      </c>
    </row>
    <row r="10" spans="1:10" x14ac:dyDescent="0.2">
      <c r="A10">
        <v>3</v>
      </c>
      <c r="B10">
        <v>155</v>
      </c>
      <c r="C10">
        <f t="shared" si="0"/>
        <v>1068.6873804426366</v>
      </c>
      <c r="D10">
        <v>0.81776883703087933</v>
      </c>
      <c r="E10">
        <f t="shared" si="1"/>
        <v>82.860427412153854</v>
      </c>
      <c r="F10">
        <v>3.6458492872402923E-2</v>
      </c>
      <c r="G10">
        <f t="shared" si="2"/>
        <v>3.6941567902962262</v>
      </c>
      <c r="H10">
        <f t="shared" si="3"/>
        <v>79.16627062185762</v>
      </c>
      <c r="I10">
        <f t="shared" si="4"/>
        <v>989.52110982077897</v>
      </c>
      <c r="J10">
        <v>55.04589639031672</v>
      </c>
    </row>
    <row r="11" spans="1:10" x14ac:dyDescent="0.2">
      <c r="A11">
        <v>4</v>
      </c>
      <c r="B11">
        <v>75</v>
      </c>
      <c r="C11">
        <f t="shared" si="0"/>
        <v>517.10679698837248</v>
      </c>
      <c r="D11">
        <v>3.6022867932656597</v>
      </c>
      <c r="E11">
        <f t="shared" si="1"/>
        <v>365.00170932764297</v>
      </c>
      <c r="F11">
        <v>0.29590288926884201</v>
      </c>
      <c r="G11">
        <f t="shared" si="2"/>
        <v>29.982360255165418</v>
      </c>
      <c r="H11">
        <f t="shared" si="3"/>
        <v>335.01934907247755</v>
      </c>
      <c r="I11">
        <f t="shared" si="4"/>
        <v>182.08744791589493</v>
      </c>
      <c r="J11">
        <v>14.546007283257747</v>
      </c>
    </row>
    <row r="12" spans="1:10" x14ac:dyDescent="0.2">
      <c r="A12">
        <v>4</v>
      </c>
      <c r="B12">
        <v>115</v>
      </c>
      <c r="C12">
        <f t="shared" si="0"/>
        <v>792.89708871550454</v>
      </c>
      <c r="D12">
        <v>3.5996068314420007</v>
      </c>
      <c r="E12">
        <f t="shared" si="1"/>
        <v>364.73016219586071</v>
      </c>
      <c r="F12">
        <v>0.2106582654516489</v>
      </c>
      <c r="G12">
        <f t="shared" si="2"/>
        <v>21.344948746888324</v>
      </c>
      <c r="H12">
        <f t="shared" si="3"/>
        <v>343.38521344897237</v>
      </c>
      <c r="I12">
        <f t="shared" si="4"/>
        <v>449.51187526653217</v>
      </c>
      <c r="J12">
        <v>25.974023147258389</v>
      </c>
    </row>
    <row r="13" spans="1:10" x14ac:dyDescent="0.2">
      <c r="A13">
        <v>4</v>
      </c>
      <c r="B13">
        <v>155</v>
      </c>
      <c r="C13">
        <f t="shared" si="0"/>
        <v>1068.6873804426366</v>
      </c>
      <c r="D13">
        <v>3.6085400207574798</v>
      </c>
      <c r="E13">
        <f t="shared" si="1"/>
        <v>365.63531760325168</v>
      </c>
      <c r="F13">
        <v>0.1533948058414861</v>
      </c>
      <c r="G13">
        <f t="shared" si="2"/>
        <v>15.54272870188858</v>
      </c>
      <c r="H13">
        <f t="shared" si="3"/>
        <v>350.09258890136311</v>
      </c>
      <c r="I13">
        <f t="shared" si="4"/>
        <v>718.59479154127348</v>
      </c>
      <c r="J13">
        <v>40.319701460332752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1540-776A-F943-B79E-86806F7B9675}">
  <dimension ref="A1:C13"/>
  <sheetViews>
    <sheetView zoomScale="190" zoomScaleNormal="190" workbookViewId="0">
      <selection activeCell="A2" sqref="A2:C2"/>
    </sheetView>
  </sheetViews>
  <sheetFormatPr baseColWidth="10" defaultRowHeight="15" x14ac:dyDescent="0.2"/>
  <cols>
    <col min="1" max="5" width="22.1640625" customWidth="1"/>
  </cols>
  <sheetData>
    <row r="1" spans="1:3" ht="44" customHeight="1" x14ac:dyDescent="0.2">
      <c r="A1" t="s">
        <v>44</v>
      </c>
      <c r="B1" s="18" t="str" cm="1">
        <f t="array" ref="B1:B13">TRANSPOSE(Sheet1!B27:N27)</f>
        <v>Salt Flux corrected to 25°C Js, mol/m^2-hr</v>
      </c>
      <c r="C1" t="str" cm="1">
        <f t="array" ref="C1:C13">TRANSPOSE(Sheet1!B22:N22)</f>
        <v>Salt concentration Gradient, DCs, mol/L</v>
      </c>
    </row>
    <row r="2" spans="1:3" x14ac:dyDescent="0.2">
      <c r="A2">
        <v>1</v>
      </c>
      <c r="B2">
        <v>2.8892577870041781E-2</v>
      </c>
      <c r="C2">
        <v>1.799839839243669E-2</v>
      </c>
    </row>
    <row r="3" spans="1:3" x14ac:dyDescent="0.2">
      <c r="A3">
        <v>1</v>
      </c>
      <c r="B3">
        <v>3.7468875800639373E-2</v>
      </c>
      <c r="C3">
        <v>1.8245997129515742E-2</v>
      </c>
    </row>
    <row r="4" spans="1:3" x14ac:dyDescent="0.2">
      <c r="A4">
        <v>1</v>
      </c>
      <c r="B4">
        <v>3.9601399478657262E-2</v>
      </c>
      <c r="C4">
        <v>1.8591051912691652E-2</v>
      </c>
    </row>
    <row r="5" spans="1:3" x14ac:dyDescent="0.2">
      <c r="A5">
        <v>2</v>
      </c>
      <c r="B5">
        <v>0.11693169732390213</v>
      </c>
      <c r="C5">
        <v>7.7354954202669413E-2</v>
      </c>
    </row>
    <row r="6" spans="1:3" x14ac:dyDescent="0.2">
      <c r="A6">
        <v>2</v>
      </c>
      <c r="B6">
        <v>0.19987314034365786</v>
      </c>
      <c r="C6">
        <v>7.9518808594558538E-2</v>
      </c>
    </row>
    <row r="7" spans="1:3" x14ac:dyDescent="0.2">
      <c r="A7">
        <v>2</v>
      </c>
      <c r="B7">
        <v>0.21841060792438111</v>
      </c>
      <c r="C7">
        <v>8.1559766590965102E-2</v>
      </c>
    </row>
    <row r="8" spans="1:3" x14ac:dyDescent="0.2">
      <c r="A8">
        <v>3</v>
      </c>
      <c r="B8">
        <v>3.3249600418271415E-2</v>
      </c>
      <c r="C8">
        <v>1.0572089610968987E-2</v>
      </c>
    </row>
    <row r="9" spans="1:3" x14ac:dyDescent="0.2">
      <c r="A9">
        <v>3</v>
      </c>
      <c r="B9">
        <v>4.2392202533683858E-2</v>
      </c>
      <c r="C9">
        <v>1.0791429025688208E-2</v>
      </c>
    </row>
    <row r="10" spans="1:3" x14ac:dyDescent="0.2">
      <c r="A10">
        <v>3</v>
      </c>
      <c r="B10">
        <v>4.567636106418025E-2</v>
      </c>
      <c r="C10">
        <v>1.0905189982757125E-2</v>
      </c>
    </row>
    <row r="11" spans="1:3" x14ac:dyDescent="0.2">
      <c r="A11">
        <v>4</v>
      </c>
      <c r="B11">
        <v>9.7451464273350677E-2</v>
      </c>
      <c r="C11">
        <v>4.5807953709158612E-2</v>
      </c>
    </row>
    <row r="12" spans="1:3" x14ac:dyDescent="0.2">
      <c r="A12">
        <v>4</v>
      </c>
      <c r="B12">
        <v>0.12393966413371647</v>
      </c>
      <c r="C12">
        <v>4.718102559930084E-2</v>
      </c>
    </row>
    <row r="13" spans="1:3" x14ac:dyDescent="0.2">
      <c r="A13">
        <v>4</v>
      </c>
      <c r="B13">
        <v>0.14041303550269207</v>
      </c>
      <c r="C13">
        <v>4.8155367609406904E-2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EAE4-8095-8840-A193-F58613B32337}">
  <dimension ref="A1:D15"/>
  <sheetViews>
    <sheetView zoomScale="180" zoomScaleNormal="180" workbookViewId="0">
      <selection activeCell="D15" sqref="D15"/>
    </sheetView>
  </sheetViews>
  <sheetFormatPr baseColWidth="10" defaultRowHeight="15" x14ac:dyDescent="0.2"/>
  <sheetData>
    <row r="1" spans="1:4" ht="49" customHeight="1" x14ac:dyDescent="0.2">
      <c r="A1" s="18" t="s">
        <v>44</v>
      </c>
      <c r="B1" s="18" t="str" cm="1">
        <f t="array" ref="B1:B13">fluxVsPressure!E1:E13</f>
        <v>Water Flux corrected to 25°C Jw, L/m^2-hr</v>
      </c>
      <c r="C1" s="18" t="str" cm="1">
        <f t="array" ref="C1:C13">fluxVsPressure!C1:C13</f>
        <v>Transmembrane Pressure drop, kPa</v>
      </c>
      <c r="D1" s="18" t="str" cm="1">
        <f t="array" ref="D1:D13">fluxVsPDiff!I1:I13</f>
        <v>Delta P - Delta Pi (kPa)</v>
      </c>
    </row>
    <row r="2" spans="1:4" x14ac:dyDescent="0.2">
      <c r="A2">
        <v>1</v>
      </c>
      <c r="B2">
        <v>32.007557494862908</v>
      </c>
      <c r="C2">
        <v>517.10679698837248</v>
      </c>
      <c r="D2">
        <v>428.81630623864947</v>
      </c>
    </row>
    <row r="3" spans="1:4" x14ac:dyDescent="0.2">
      <c r="A3">
        <v>1</v>
      </c>
      <c r="B3">
        <v>47.184467018166352</v>
      </c>
      <c r="C3">
        <v>792.89708871550454</v>
      </c>
      <c r="D3">
        <v>703.88395871764351</v>
      </c>
    </row>
    <row r="4" spans="1:4" x14ac:dyDescent="0.2">
      <c r="A4">
        <v>1</v>
      </c>
      <c r="B4">
        <v>62.432872903165432</v>
      </c>
      <c r="C4">
        <v>1068.6873804426366</v>
      </c>
      <c r="D4">
        <v>978.03156635786877</v>
      </c>
    </row>
    <row r="5" spans="1:4" x14ac:dyDescent="0.2">
      <c r="A5">
        <v>2</v>
      </c>
      <c r="B5">
        <v>12.620581605145141</v>
      </c>
      <c r="C5">
        <v>517.10679698837248</v>
      </c>
      <c r="D5">
        <v>135.77851779517107</v>
      </c>
    </row>
    <row r="6" spans="1:4" x14ac:dyDescent="0.2">
      <c r="A6">
        <v>2</v>
      </c>
      <c r="B6">
        <v>28.194763059596998</v>
      </c>
      <c r="C6">
        <v>792.89708871550454</v>
      </c>
      <c r="D6">
        <v>402.83089275607125</v>
      </c>
    </row>
    <row r="7" spans="1:4" x14ac:dyDescent="0.2">
      <c r="A7">
        <v>2</v>
      </c>
      <c r="B7">
        <v>43.365827449369505</v>
      </c>
      <c r="C7">
        <v>1068.6873804426366</v>
      </c>
      <c r="D7">
        <v>669.18051252988494</v>
      </c>
    </row>
    <row r="8" spans="1:4" x14ac:dyDescent="0.2">
      <c r="A8">
        <v>3</v>
      </c>
      <c r="B8">
        <v>29.894976572756523</v>
      </c>
      <c r="C8">
        <v>517.10679698837248</v>
      </c>
      <c r="D8">
        <v>439.97116866325621</v>
      </c>
    </row>
    <row r="9" spans="1:4" x14ac:dyDescent="0.2">
      <c r="A9">
        <v>3</v>
      </c>
      <c r="B9">
        <v>43.600417649900521</v>
      </c>
      <c r="C9">
        <v>792.89708871550454</v>
      </c>
      <c r="D9">
        <v>714.50982274079354</v>
      </c>
    </row>
    <row r="10" spans="1:4" x14ac:dyDescent="0.2">
      <c r="A10">
        <v>3</v>
      </c>
      <c r="B10">
        <v>55.04589639031672</v>
      </c>
      <c r="C10">
        <v>1068.6873804426366</v>
      </c>
      <c r="D10">
        <v>989.52110982077897</v>
      </c>
    </row>
    <row r="11" spans="1:4" x14ac:dyDescent="0.2">
      <c r="A11">
        <v>4</v>
      </c>
      <c r="B11">
        <v>14.546007283257747</v>
      </c>
      <c r="C11">
        <v>517.10679698837248</v>
      </c>
      <c r="D11">
        <v>182.08744791589493</v>
      </c>
    </row>
    <row r="12" spans="1:4" x14ac:dyDescent="0.2">
      <c r="A12">
        <v>4</v>
      </c>
      <c r="B12">
        <v>25.974023147258389</v>
      </c>
      <c r="C12">
        <v>792.89708871550454</v>
      </c>
      <c r="D12">
        <v>449.51187526653217</v>
      </c>
    </row>
    <row r="13" spans="1:4" x14ac:dyDescent="0.2">
      <c r="A13">
        <v>4</v>
      </c>
      <c r="B13">
        <v>40.319701460332752</v>
      </c>
      <c r="C13">
        <v>1068.6873804426366</v>
      </c>
      <c r="D13">
        <v>718.59479154127348</v>
      </c>
    </row>
    <row r="15" spans="1:4" x14ac:dyDescent="0.2">
      <c r="A15" t="s">
        <v>44</v>
      </c>
      <c r="B15" t="s">
        <v>42</v>
      </c>
      <c r="C15" t="s">
        <v>43</v>
      </c>
      <c r="D1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4794-4739-471C-8187-5C37806194C4}">
  <dimension ref="D4:H9"/>
  <sheetViews>
    <sheetView zoomScale="125" workbookViewId="0">
      <selection activeCell="E26" sqref="E26"/>
    </sheetView>
  </sheetViews>
  <sheetFormatPr baseColWidth="10" defaultColWidth="8.83203125" defaultRowHeight="15" x14ac:dyDescent="0.2"/>
  <sheetData>
    <row r="4" spans="4:8" x14ac:dyDescent="0.2">
      <c r="D4" t="s">
        <v>35</v>
      </c>
      <c r="E4" t="s">
        <v>36</v>
      </c>
      <c r="G4" t="s">
        <v>38</v>
      </c>
    </row>
    <row r="5" spans="4:8" x14ac:dyDescent="0.2">
      <c r="D5">
        <v>10</v>
      </c>
      <c r="E5">
        <v>0.99965000000000004</v>
      </c>
      <c r="G5">
        <f xml:space="preserve"> -0.0002*D5 + 1.0019</f>
        <v>0.99990000000000001</v>
      </c>
      <c r="H5" t="s">
        <v>37</v>
      </c>
    </row>
    <row r="6" spans="4:8" x14ac:dyDescent="0.2">
      <c r="D6">
        <v>15</v>
      </c>
      <c r="E6">
        <v>0.99905999999999995</v>
      </c>
      <c r="G6">
        <f t="shared" ref="G6:G9" si="0" xml:space="preserve"> -0.0002*D6 + 1.0019</f>
        <v>0.99890000000000001</v>
      </c>
    </row>
    <row r="7" spans="4:8" x14ac:dyDescent="0.2">
      <c r="D7">
        <v>20</v>
      </c>
      <c r="E7">
        <v>0.99819000000000002</v>
      </c>
      <c r="G7">
        <f t="shared" si="0"/>
        <v>0.99790000000000001</v>
      </c>
    </row>
    <row r="8" spans="4:8" x14ac:dyDescent="0.2">
      <c r="D8">
        <v>25</v>
      </c>
      <c r="E8">
        <v>0.99704999999999999</v>
      </c>
      <c r="G8">
        <f t="shared" si="0"/>
        <v>0.99690000000000001</v>
      </c>
    </row>
    <row r="9" spans="4:8" x14ac:dyDescent="0.2">
      <c r="D9">
        <v>30</v>
      </c>
      <c r="E9">
        <v>0.99567000000000005</v>
      </c>
      <c r="G9">
        <f t="shared" si="0"/>
        <v>0.99590000000000001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recoveryVsPressure</vt:lpstr>
      <vt:lpstr>fluxVsPressure</vt:lpstr>
      <vt:lpstr>fluxVsPDiff</vt:lpstr>
      <vt:lpstr>cVsCDrop</vt:lpstr>
      <vt:lpstr>PDiffWithOsmoticPressureDiff</vt:lpstr>
      <vt:lpstr>water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Ogden, Gregory E - (gogden)</dc:creator>
  <cp:lastModifiedBy>George, Steven E - (stevengeorge)</cp:lastModifiedBy>
  <cp:lastPrinted>2025-03-19T18:14:34Z</cp:lastPrinted>
  <dcterms:created xsi:type="dcterms:W3CDTF">2024-02-29T17:58:13Z</dcterms:created>
  <dcterms:modified xsi:type="dcterms:W3CDTF">2025-03-27T05:00:32Z</dcterms:modified>
</cp:coreProperties>
</file>