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esktop/5_CHEE_301B/CHEE_301B_Repo/RO/FinalResultsGraphing/"/>
    </mc:Choice>
  </mc:AlternateContent>
  <xr:revisionPtr revIDLastSave="0" documentId="13_ncr:1_{05AE9A63-4CDF-3C48-A5A5-35C69C443937}" xr6:coauthVersionLast="47" xr6:coauthVersionMax="47" xr10:uidLastSave="{00000000-0000-0000-0000-000000000000}"/>
  <bookViews>
    <workbookView xWindow="1360" yWindow="500" windowWidth="34560" windowHeight="19480" xr2:uid="{81BDDA59-F480-4C30-8BBC-AD1E6993C18D}"/>
  </bookViews>
  <sheets>
    <sheet name="Sheet1" sheetId="1" r:id="rId1"/>
    <sheet name="fluxVsPressure" sheetId="3" r:id="rId2"/>
    <sheet name="fluxVsPDiff" sheetId="4" r:id="rId3"/>
    <sheet name="cVsCDrop" sheetId="5" r:id="rId4"/>
    <sheet name="PDiffWithOsmoticPressureDiff" sheetId="6" r:id="rId5"/>
    <sheet name="water density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" i="1" l="1"/>
  <c r="M25" i="1"/>
  <c r="L25" i="1"/>
  <c r="K25" i="1"/>
  <c r="J25" i="1"/>
  <c r="I25" i="1"/>
  <c r="H25" i="1"/>
  <c r="G25" i="1"/>
  <c r="F25" i="1"/>
  <c r="E25" i="1"/>
  <c r="D25" i="1"/>
  <c r="C25" i="1"/>
  <c r="C23" i="1"/>
  <c r="N24" i="1"/>
  <c r="M24" i="1"/>
  <c r="L24" i="1"/>
  <c r="K24" i="1"/>
  <c r="J24" i="1"/>
  <c r="I24" i="1"/>
  <c r="H24" i="1"/>
  <c r="G24" i="1"/>
  <c r="F24" i="1"/>
  <c r="E24" i="1"/>
  <c r="D1" i="4" s="1" a="1"/>
  <c r="D24" i="1"/>
  <c r="C24" i="1"/>
  <c r="N23" i="1"/>
  <c r="M23" i="1"/>
  <c r="L23" i="1"/>
  <c r="K23" i="1"/>
  <c r="J23" i="1"/>
  <c r="I23" i="1"/>
  <c r="H23" i="1"/>
  <c r="G23" i="1"/>
  <c r="F1" i="4" s="1" a="1"/>
  <c r="F23" i="1"/>
  <c r="E23" i="1"/>
  <c r="D23" i="1"/>
  <c r="J22" i="1"/>
  <c r="K22" i="1"/>
  <c r="L22" i="1"/>
  <c r="M22" i="1"/>
  <c r="N22" i="1"/>
  <c r="I22" i="1"/>
  <c r="D22" i="1"/>
  <c r="E22" i="1"/>
  <c r="F22" i="1"/>
  <c r="G22" i="1"/>
  <c r="H22" i="1"/>
  <c r="C22" i="1"/>
  <c r="M21" i="1"/>
  <c r="N21" i="1"/>
  <c r="L21" i="1"/>
  <c r="G21" i="1"/>
  <c r="H21" i="1"/>
  <c r="F21" i="1"/>
  <c r="I21" i="1"/>
  <c r="J21" i="1"/>
  <c r="K21" i="1"/>
  <c r="D21" i="1"/>
  <c r="E21" i="1"/>
  <c r="C21" i="1"/>
  <c r="M20" i="1"/>
  <c r="N20" i="1"/>
  <c r="L20" i="1"/>
  <c r="J20" i="1"/>
  <c r="K20" i="1"/>
  <c r="I20" i="1"/>
  <c r="G20" i="1"/>
  <c r="H20" i="1"/>
  <c r="F20" i="1"/>
  <c r="D20" i="1"/>
  <c r="E20" i="1"/>
  <c r="F16" i="1"/>
  <c r="G16" i="1"/>
  <c r="H16" i="1"/>
  <c r="C20" i="1"/>
  <c r="C16" i="1" s="1"/>
  <c r="J11" i="1"/>
  <c r="K11" i="1"/>
  <c r="L11" i="1"/>
  <c r="M11" i="1"/>
  <c r="N11" i="1"/>
  <c r="I11" i="1"/>
  <c r="B1" i="5" a="1"/>
  <c r="B1" i="5" s="1"/>
  <c r="C1" i="6" a="1"/>
  <c r="C1" i="6" s="1"/>
  <c r="B1" i="4" a="1"/>
  <c r="C13" i="4" s="1"/>
  <c r="D1" i="3" a="1"/>
  <c r="D1" i="3" s="1"/>
  <c r="B1" i="3" a="1"/>
  <c r="B1" i="3" s="1"/>
  <c r="D16" i="1"/>
  <c r="E16" i="1"/>
  <c r="I16" i="1"/>
  <c r="J16" i="1"/>
  <c r="K16" i="1"/>
  <c r="L16" i="1"/>
  <c r="M16" i="1"/>
  <c r="N16" i="1"/>
  <c r="F1" i="4" l="1"/>
  <c r="G8" i="4"/>
  <c r="G9" i="4"/>
  <c r="G10" i="4"/>
  <c r="G11" i="4"/>
  <c r="G12" i="4"/>
  <c r="D1" i="4"/>
  <c r="E10" i="4"/>
  <c r="H10" i="4" s="1"/>
  <c r="I10" i="4" s="1"/>
  <c r="E7" i="4"/>
  <c r="E8" i="4"/>
  <c r="H8" i="4" s="1"/>
  <c r="I8" i="4" s="1"/>
  <c r="E9" i="4"/>
  <c r="C1" i="5" a="1"/>
  <c r="C1" i="5" s="1"/>
  <c r="E5" i="4"/>
  <c r="E2" i="4"/>
  <c r="H2" i="4" s="1"/>
  <c r="I2" i="4" s="1"/>
  <c r="G6" i="4"/>
  <c r="E13" i="4"/>
  <c r="E3" i="4"/>
  <c r="G5" i="4"/>
  <c r="E6" i="4"/>
  <c r="G7" i="4"/>
  <c r="H7" i="4" s="1"/>
  <c r="I7" i="4" s="1"/>
  <c r="E4" i="4"/>
  <c r="E12" i="4"/>
  <c r="G2" i="4"/>
  <c r="G4" i="4"/>
  <c r="E11" i="4"/>
  <c r="H11" i="4" s="1"/>
  <c r="I11" i="4" s="1"/>
  <c r="G13" i="4"/>
  <c r="G3" i="4"/>
  <c r="C4" i="4"/>
  <c r="C5" i="4"/>
  <c r="C6" i="4"/>
  <c r="C8" i="4"/>
  <c r="C10" i="4"/>
  <c r="B1" i="4"/>
  <c r="C11" i="4"/>
  <c r="C2" i="4"/>
  <c r="C12" i="4"/>
  <c r="C7" i="4"/>
  <c r="C9" i="4"/>
  <c r="C3" i="4"/>
  <c r="E10" i="3"/>
  <c r="C12" i="3"/>
  <c r="E9" i="3"/>
  <c r="C11" i="3"/>
  <c r="E8" i="3"/>
  <c r="C10" i="3"/>
  <c r="E7" i="3"/>
  <c r="C9" i="3"/>
  <c r="C8" i="3"/>
  <c r="E6" i="3"/>
  <c r="C2" i="3"/>
  <c r="E5" i="3"/>
  <c r="C7" i="3"/>
  <c r="E2" i="3"/>
  <c r="E4" i="3"/>
  <c r="C6" i="3"/>
  <c r="E13" i="3"/>
  <c r="E3" i="3"/>
  <c r="C5" i="3"/>
  <c r="E12" i="3"/>
  <c r="C4" i="3"/>
  <c r="E11" i="3"/>
  <c r="C13" i="3"/>
  <c r="C3" i="3"/>
  <c r="G6" i="2"/>
  <c r="G7" i="2"/>
  <c r="G8" i="2"/>
  <c r="G9" i="2"/>
  <c r="G5" i="2"/>
  <c r="H12" i="4" l="1"/>
  <c r="I12" i="4" s="1"/>
  <c r="H4" i="4"/>
  <c r="I4" i="4" s="1"/>
  <c r="H9" i="4"/>
  <c r="I9" i="4" s="1"/>
  <c r="H6" i="4"/>
  <c r="I6" i="4" s="1"/>
  <c r="H3" i="4"/>
  <c r="I3" i="4" s="1"/>
  <c r="H13" i="4"/>
  <c r="I13" i="4" s="1"/>
  <c r="B1" i="6" a="1"/>
  <c r="B1" i="6" s="1"/>
  <c r="J1" i="4" a="1"/>
  <c r="J1" i="4" s="1"/>
  <c r="H5" i="4"/>
  <c r="I5" i="4" s="1"/>
  <c r="D1" i="6" l="1" a="1"/>
  <c r="D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<sst xmlns="http://schemas.openxmlformats.org/spreadsheetml/2006/main" count="70" uniqueCount="50">
  <si>
    <t>Week 1</t>
  </si>
  <si>
    <t>Week 2</t>
  </si>
  <si>
    <t>Run 1</t>
  </si>
  <si>
    <t xml:space="preserve">Run 2 </t>
  </si>
  <si>
    <t>Run3</t>
  </si>
  <si>
    <t>Permeate salt concentration, g/l</t>
  </si>
  <si>
    <t>Feed salt concentration, g/l</t>
  </si>
  <si>
    <t>Permeate density, g/ml</t>
  </si>
  <si>
    <t>Permeate flow, ml/min</t>
  </si>
  <si>
    <r>
      <t>Water Flux corrected to 25°C J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, mol/m^2-hr</t>
    </r>
  </si>
  <si>
    <r>
      <t>Salt Flux corrected to 25°C J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, mol/m^2-hr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</si>
  <si>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w ,  </t>
    </r>
    <r>
      <rPr>
        <sz val="11"/>
        <color theme="1"/>
        <rFont val="Calibri"/>
        <family val="2"/>
        <scheme val="minor"/>
      </rPr>
      <t>mol/m^2-hr-atm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</si>
  <si>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 L/m^2-hr</t>
    </r>
  </si>
  <si>
    <r>
      <t>Instanteous Salt Rejection Coefficient, 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as a decimal</t>
    </r>
  </si>
  <si>
    <t>Flux TCF</t>
  </si>
  <si>
    <t>Transmembrane Pressure drop, psi</t>
  </si>
  <si>
    <t>Inputs</t>
  </si>
  <si>
    <t>Av temp of Feed, °C</t>
  </si>
  <si>
    <t>Av temp of permeate, °C</t>
  </si>
  <si>
    <t>calculations assume density doesn't change when salt is added (vol does)</t>
  </si>
  <si>
    <r>
      <rPr>
        <b/>
        <sz val="11"/>
        <color theme="1"/>
        <rFont val="Calibri"/>
        <family val="2"/>
        <scheme val="minor"/>
      </rPr>
      <t>Permeate</t>
    </r>
    <r>
      <rPr>
        <sz val="11"/>
        <color theme="1"/>
        <rFont val="Calibri"/>
        <family val="2"/>
        <scheme val="minor"/>
      </rPr>
      <t xml:space="preserve"> Osmotic pressure, </t>
    </r>
    <r>
      <rPr>
        <sz val="11"/>
        <color theme="1"/>
        <rFont val="Symbol"/>
        <family val="1"/>
        <charset val="2"/>
      </rPr>
      <t>p</t>
    </r>
    <r>
      <rPr>
        <vertAlign val="subscript"/>
        <sz val="11"/>
        <color theme="1"/>
        <rFont val="Calibri Light"/>
        <family val="2"/>
        <scheme val="major"/>
      </rPr>
      <t>p</t>
    </r>
    <r>
      <rPr>
        <sz val="11"/>
        <color theme="1"/>
        <rFont val="Calibri"/>
        <family val="2"/>
        <scheme val="minor"/>
      </rPr>
      <t xml:space="preserve"> (atm)</t>
    </r>
  </si>
  <si>
    <r>
      <rPr>
        <b/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Osmotic pressure, </t>
    </r>
    <r>
      <rPr>
        <sz val="11"/>
        <color theme="1"/>
        <rFont val="Symbol"/>
        <family val="1"/>
        <charset val="2"/>
      </rPr>
      <t>p</t>
    </r>
    <r>
      <rPr>
        <vertAlign val="subscript"/>
        <sz val="11"/>
        <color theme="1"/>
        <rFont val="Calibri Light"/>
        <family val="2"/>
        <scheme val="major"/>
      </rPr>
      <t>f</t>
    </r>
    <r>
      <rPr>
        <sz val="11"/>
        <color theme="1"/>
        <rFont val="Calibri"/>
        <family val="2"/>
        <scheme val="minor"/>
      </rPr>
      <t xml:space="preserve"> (atm)</t>
    </r>
  </si>
  <si>
    <r>
      <t xml:space="preserve">Salt concentration Gradient,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Cs, mol/L</t>
    </r>
  </si>
  <si>
    <t>For Concentrated Solutions</t>
  </si>
  <si>
    <t>"Mc"</t>
  </si>
  <si>
    <t>"Bc"</t>
  </si>
  <si>
    <t>For Dilute Solutions</t>
  </si>
  <si>
    <t>"Md"</t>
  </si>
  <si>
    <t>"Bd"</t>
  </si>
  <si>
    <r>
      <t xml:space="preserve">EC units are  </t>
    </r>
    <r>
      <rPr>
        <b/>
        <sz val="11"/>
        <color theme="1"/>
        <rFont val="Calibri"/>
        <family val="2"/>
        <scheme val="minor"/>
      </rPr>
      <t>Micro Siemen</t>
    </r>
    <r>
      <rPr>
        <sz val="11"/>
        <color theme="1"/>
        <rFont val="Calibri"/>
        <family val="2"/>
        <scheme val="minor"/>
      </rPr>
      <t>s</t>
    </r>
  </si>
  <si>
    <r>
      <t xml:space="preserve">Average </t>
    </r>
    <r>
      <rPr>
        <b/>
        <sz val="11"/>
        <color theme="1"/>
        <rFont val="Calibri Light"/>
        <family val="2"/>
        <scheme val="major"/>
      </rPr>
      <t>Permeate</t>
    </r>
    <r>
      <rPr>
        <sz val="11"/>
        <color theme="1"/>
        <rFont val="Calibri Light"/>
        <family val="2"/>
        <scheme val="major"/>
      </rPr>
      <t xml:space="preserve"> Salt conductivity,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 Light"/>
        <family val="2"/>
        <scheme val="major"/>
      </rPr>
      <t>S</t>
    </r>
  </si>
  <si>
    <r>
      <t xml:space="preserve">Average </t>
    </r>
    <r>
      <rPr>
        <b/>
        <sz val="11"/>
        <color theme="1"/>
        <rFont val="Calibri Light"/>
        <family val="2"/>
        <scheme val="major"/>
      </rPr>
      <t>Feed</t>
    </r>
    <r>
      <rPr>
        <sz val="11"/>
        <color theme="1"/>
        <rFont val="Calibri Light"/>
        <family val="2"/>
        <scheme val="major"/>
      </rPr>
      <t xml:space="preserve"> Salt Conductivity,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 Light"/>
        <family val="2"/>
        <scheme val="major"/>
      </rPr>
      <t>S</t>
    </r>
  </si>
  <si>
    <t>1g/L Feed Solution</t>
  </si>
  <si>
    <t>5g/L Feed Solution</t>
  </si>
  <si>
    <t xml:space="preserve">% Recovery </t>
  </si>
  <si>
    <t>T</t>
  </si>
  <si>
    <t>density g/ml</t>
  </si>
  <si>
    <t>eqcn</t>
  </si>
  <si>
    <t>eqn</t>
  </si>
  <si>
    <r>
      <t xml:space="preserve">EC in </t>
    </r>
    <r>
      <rPr>
        <sz val="11"/>
        <color theme="1"/>
        <rFont val="Calibri Light"/>
        <family val="2"/>
        <scheme val="major"/>
      </rPr>
      <t>m</t>
    </r>
    <r>
      <rPr>
        <sz val="11"/>
        <color theme="1"/>
        <rFont val="Calibri"/>
        <family val="2"/>
        <scheme val="minor"/>
      </rPr>
      <t>S vs. [salt] equation parameters ([salt, g/l] = M*EC +B)</t>
    </r>
  </si>
  <si>
    <r>
      <t xml:space="preserve">Please put your Raw and Calculated Data in this table. </t>
    </r>
    <r>
      <rPr>
        <b/>
        <sz val="11"/>
        <color theme="1"/>
        <rFont val="Calibri"/>
        <family val="2"/>
        <scheme val="minor"/>
      </rPr>
      <t>NOTE UNITS</t>
    </r>
  </si>
  <si>
    <t>Calculated Values</t>
  </si>
  <si>
    <t>Water Flux corrected to 25°C Jw, L/m^2-hr</t>
  </si>
  <si>
    <t>Transmembrane Pressure drop, kPa</t>
  </si>
  <si>
    <t>Run</t>
  </si>
  <si>
    <t>Feed Osmotic pressure, pf (kPa)</t>
  </si>
  <si>
    <t>Osmotic Pressure Difference (kPa)</t>
  </si>
  <si>
    <t>Delta P - Delta Pi (kPa)</t>
  </si>
  <si>
    <t>Salt Flux corrected to 25°C Js, mol/m^2-hr</t>
  </si>
  <si>
    <t>Salt concentration Gradient, DCs, 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</si>
</sst>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2" borderId="1" xfId="0" applyFill="1" applyBorder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/>
    <xf numFmtId="0" fontId="0" fillId="2" borderId="2" xfId="0" applyFill="1" applyBorder="1" applyAlignment="1">
      <alignment vertical="center"/>
    </xf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9" fillId="4" borderId="4" xfId="0" applyFont="1" applyFill="1" applyBorder="1" applyAlignment="1">
      <alignment wrapText="1"/>
    </xf>
    <xf numFmtId="0" fontId="9" fillId="4" borderId="3" xfId="0" applyFont="1" applyFill="1" applyBorder="1" applyAlignment="1">
      <alignment wrapText="1"/>
    </xf>
    <xf numFmtId="0" fontId="9" fillId="4" borderId="5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density'!$E$4</c:f>
              <c:strCache>
                <c:ptCount val="1"/>
                <c:pt idx="0">
                  <c:v>density g/ml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379724409448821"/>
                  <c:y val="-8.79042723826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'water density'!$D$5:$D$9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'water density'!$E$5:$E$9</c:f>
              <c:numCache>
                <c:formatCode>General</c:formatCode>
                <c:ptCount val="5"/>
                <c:pt idx="0">
                  <c:v>0.99965000000000004</c:v>
                </c:pt>
                <c:pt idx="1">
                  <c:v>0.99905999999999995</c:v>
                </c:pt>
                <c:pt idx="2">
                  <c:v>0.99819000000000002</c:v>
                </c:pt>
                <c:pt idx="3">
                  <c:v>0.99704999999999999</c:v>
                </c:pt>
                <c:pt idx="4">
                  <c:v>0.99567000000000005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8-464A-A4C0-A7DBF3FC4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61199"/>
        <c:axId val="447418383"/>
      </c:scatterChart>
      <c:valAx>
        <c:axId val="16216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18383"/>
        <c:crosses val="autoZero"/>
        <c:crossBetween val="midCat"/>
      </c:valAx>
      <c:valAx>
        <c:axId val="44741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130534</xdr:colOff>
      <xdr:row>1</xdr:row>
      <xdr:rowOff>81207</xdr:rowOff>
    </xdr:from>
    <xdr:to>
      <xdr:col>20</xdr:col>
      <xdr:colOff>533539</xdr:colOff>
      <xdr:row>20</xdr:row>
      <xdr:rowOff>157212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D74D869-8018-D166-9714-D8C0F8251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6279" y="261316"/>
          <a:ext cx="3381733" cy="3564271"/>
        </a:xfrm>
        <a:prstGeom prst="rect">
          <a:avLst/>
        </a:prstGeom>
      </xdr:spPr>
    </xdr:pic>
    <xdr:clientData/>
  </xdr:twoCellAnchor>
  <xdr:twoCellAnchor editAs="oneCell">
    <xdr:from>
      <xdr:col>20</xdr:col>
      <xdr:colOff>49049</xdr:colOff>
      <xdr:row>1</xdr:row>
      <xdr:rowOff>95689</xdr:rowOff>
    </xdr:from>
    <xdr:to>
      <xdr:col>24</xdr:col>
      <xdr:colOff>408961</xdr:colOff>
      <xdr:row>17</xdr:row>
      <xdr:rowOff>30788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93429FD-B2C5-9836-6094-8256D8A19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53522" y="275798"/>
          <a:ext cx="2742894" cy="2883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41910</xdr:rowOff>
    </xdr:from>
    <xdr:to>
      <xdr:col>15</xdr:col>
      <xdr:colOff>228600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22241-8A2A-9356-3658-9618BFED2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8900-F8FE-494C-A82D-A0F58AF8A95B}">
  <dimension ref="A2:AC36"/>
  <sheetViews>
    <sheetView tabSelected="1" topLeftCell="B1" zoomScale="150" zoomScaleNormal="150" workbookViewId="0">
      <selection activeCell="K11" sqref="K11"/>
    </sheetView>
  </sheetViews>
  <sheetFormatPr baseColWidth="10" defaultColWidth="8.83203125" defaultRowHeight="15" x14ac:dyDescent="0.2"/>
  <cols>
    <col min="1" max="1" width="10" customWidth="1"/>
    <col min="2" max="2" width="52.33203125" bestFit="1" customWidth="1"/>
    <col min="3" max="14" width="8.83203125" customWidth="1"/>
  </cols>
  <sheetData>
    <row r="2" spans="1:29" x14ac:dyDescent="0.2">
      <c r="B2" t="s">
        <v>40</v>
      </c>
    </row>
    <row r="3" spans="1:29" x14ac:dyDescent="0.2">
      <c r="C3" s="19" t="s">
        <v>0</v>
      </c>
      <c r="D3" s="19"/>
      <c r="E3" s="19"/>
      <c r="F3" s="19"/>
      <c r="G3" s="19"/>
      <c r="H3" s="19"/>
      <c r="I3" s="19" t="s">
        <v>1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9" x14ac:dyDescent="0.2">
      <c r="B4" t="s">
        <v>29</v>
      </c>
      <c r="C4" t="s">
        <v>2</v>
      </c>
      <c r="D4" t="s">
        <v>3</v>
      </c>
      <c r="E4" t="s">
        <v>4</v>
      </c>
      <c r="F4" t="s">
        <v>2</v>
      </c>
      <c r="G4" t="s">
        <v>3</v>
      </c>
      <c r="H4" t="s">
        <v>4</v>
      </c>
      <c r="I4" t="s">
        <v>2</v>
      </c>
      <c r="J4" t="s">
        <v>3</v>
      </c>
      <c r="K4" t="s">
        <v>4</v>
      </c>
      <c r="L4" t="s">
        <v>2</v>
      </c>
      <c r="M4" t="s">
        <v>3</v>
      </c>
      <c r="N4" t="s">
        <v>4</v>
      </c>
    </row>
    <row r="5" spans="1:29" x14ac:dyDescent="0.2">
      <c r="A5" t="s">
        <v>16</v>
      </c>
      <c r="B5" s="2"/>
      <c r="C5" s="20" t="s">
        <v>32</v>
      </c>
      <c r="D5" s="20"/>
      <c r="E5" s="20"/>
      <c r="F5" s="20" t="s">
        <v>33</v>
      </c>
      <c r="G5" s="20"/>
      <c r="H5" s="20"/>
      <c r="I5" s="20" t="s">
        <v>32</v>
      </c>
      <c r="J5" s="20"/>
      <c r="K5" s="20"/>
      <c r="L5" s="20" t="s">
        <v>33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9" x14ac:dyDescent="0.2">
      <c r="B6" s="2" t="s">
        <v>39</v>
      </c>
    </row>
    <row r="7" spans="1:29" ht="16" thickBot="1" x14ac:dyDescent="0.25">
      <c r="B7" s="2" t="s">
        <v>23</v>
      </c>
    </row>
    <row r="8" spans="1:29" x14ac:dyDescent="0.2">
      <c r="B8" s="3" t="s">
        <v>24</v>
      </c>
      <c r="C8" s="22">
        <v>0.54398085190000001</v>
      </c>
      <c r="D8" s="22">
        <v>0.54398085190000001</v>
      </c>
      <c r="E8" s="22">
        <v>0.54398085190000001</v>
      </c>
      <c r="F8" s="22">
        <v>0.54398085190000001</v>
      </c>
      <c r="G8" s="22">
        <v>0.54398085190000001</v>
      </c>
      <c r="H8" s="22">
        <v>0.54398085190000001</v>
      </c>
      <c r="I8" s="21">
        <v>0.51009998000000001</v>
      </c>
      <c r="J8" s="21">
        <v>0.51009998000000001</v>
      </c>
      <c r="K8" s="21">
        <v>0.51009998000000001</v>
      </c>
      <c r="L8" s="21">
        <v>0.51009998000000001</v>
      </c>
      <c r="M8" s="21">
        <v>0.51009998000000001</v>
      </c>
      <c r="N8" s="21">
        <v>0.51009998000000001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4"/>
      <c r="AB8" s="4"/>
      <c r="AC8" s="4"/>
    </row>
    <row r="9" spans="1:29" ht="16" thickBot="1" x14ac:dyDescent="0.25">
      <c r="B9" s="3" t="s">
        <v>25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4"/>
      <c r="AB9" s="4"/>
      <c r="AC9" s="4"/>
    </row>
    <row r="10" spans="1:29" ht="16" thickBot="1" x14ac:dyDescent="0.25">
      <c r="B10" s="2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9" x14ac:dyDescent="0.2">
      <c r="B11" s="3" t="s">
        <v>27</v>
      </c>
      <c r="C11" s="22">
        <v>0.513004668</v>
      </c>
      <c r="D11" s="22">
        <v>0.513004668</v>
      </c>
      <c r="E11" s="22">
        <v>0.513004668</v>
      </c>
      <c r="F11" s="22">
        <v>0.513004668</v>
      </c>
      <c r="G11" s="22">
        <v>0.513004668</v>
      </c>
      <c r="H11" s="22">
        <v>0.513004668</v>
      </c>
      <c r="I11" s="21">
        <f>0.4484103852</f>
        <v>0.44841038519999998</v>
      </c>
      <c r="J11" s="21">
        <f t="shared" ref="J11:N11" si="0">0.4484103852</f>
        <v>0.44841038519999998</v>
      </c>
      <c r="K11" s="21">
        <f t="shared" si="0"/>
        <v>0.44841038519999998</v>
      </c>
      <c r="L11" s="21">
        <f t="shared" si="0"/>
        <v>0.44841038519999998</v>
      </c>
      <c r="M11" s="21">
        <f t="shared" si="0"/>
        <v>0.44841038519999998</v>
      </c>
      <c r="N11" s="21">
        <f t="shared" si="0"/>
        <v>0.44841038519999998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4"/>
      <c r="AB11" s="4"/>
      <c r="AC11" s="4"/>
    </row>
    <row r="12" spans="1:29" ht="16" thickBot="1" x14ac:dyDescent="0.25">
      <c r="B12" s="3" t="s">
        <v>28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4"/>
      <c r="AB12" s="4"/>
      <c r="AC12" s="4"/>
    </row>
    <row r="13" spans="1:29" x14ac:dyDescent="0.2">
      <c r="B13" s="6" t="s">
        <v>15</v>
      </c>
      <c r="C13" s="6">
        <v>75</v>
      </c>
      <c r="D13" s="6">
        <v>115</v>
      </c>
      <c r="E13" s="6">
        <v>155</v>
      </c>
      <c r="F13" s="6">
        <v>75</v>
      </c>
      <c r="G13" s="6">
        <v>115</v>
      </c>
      <c r="H13" s="6">
        <v>155</v>
      </c>
      <c r="I13" s="6">
        <v>75</v>
      </c>
      <c r="J13" s="6">
        <v>115</v>
      </c>
      <c r="K13" s="6">
        <v>155</v>
      </c>
      <c r="L13" s="6">
        <v>75</v>
      </c>
      <c r="M13" s="6">
        <v>115</v>
      </c>
      <c r="N13" s="6">
        <v>155</v>
      </c>
    </row>
    <row r="14" spans="1:29" x14ac:dyDescent="0.2">
      <c r="B14" s="7" t="s">
        <v>30</v>
      </c>
      <c r="C14" s="7">
        <v>102.25</v>
      </c>
      <c r="D14" s="7">
        <v>89.95</v>
      </c>
      <c r="E14" s="7">
        <v>71.849999999999994</v>
      </c>
      <c r="F14" s="7">
        <v>1049.5</v>
      </c>
      <c r="G14" s="7">
        <v>803</v>
      </c>
      <c r="H14" s="7">
        <v>570.5</v>
      </c>
      <c r="I14" s="7">
        <v>144.13300000000001</v>
      </c>
      <c r="J14" s="7">
        <v>126</v>
      </c>
      <c r="K14" s="7">
        <v>107.533</v>
      </c>
      <c r="L14" s="7">
        <v>868.2</v>
      </c>
      <c r="M14" s="7">
        <v>618.36699999999996</v>
      </c>
      <c r="N14" s="12">
        <v>451.3</v>
      </c>
    </row>
    <row r="15" spans="1:29" x14ac:dyDescent="0.2">
      <c r="B15" s="8" t="s">
        <v>31</v>
      </c>
      <c r="C15" s="8">
        <v>2030</v>
      </c>
      <c r="D15" s="8">
        <v>2045</v>
      </c>
      <c r="E15" s="8">
        <v>2065</v>
      </c>
      <c r="F15" s="8">
        <v>9300</v>
      </c>
      <c r="G15" s="8">
        <v>9300</v>
      </c>
      <c r="H15" s="8">
        <v>9300</v>
      </c>
      <c r="I15" s="8">
        <v>2100</v>
      </c>
      <c r="J15" s="8">
        <v>2125</v>
      </c>
      <c r="K15" s="8">
        <v>2130</v>
      </c>
      <c r="L15" s="8">
        <v>9313.3330000000005</v>
      </c>
      <c r="M15" s="8">
        <v>9350</v>
      </c>
      <c r="N15" s="13">
        <v>9385</v>
      </c>
    </row>
    <row r="16" spans="1:29" x14ac:dyDescent="0.2">
      <c r="B16" s="9" t="s">
        <v>7</v>
      </c>
      <c r="C16" s="9">
        <f>C20/1000+1</f>
        <v>1.0000524547273031</v>
      </c>
      <c r="D16" s="9">
        <f t="shared" ref="D16:N16" si="1">D20/1000+1</f>
        <v>1.0000461447698865</v>
      </c>
      <c r="E16" s="9">
        <f t="shared" si="1"/>
        <v>1.0000368593853959</v>
      </c>
      <c r="F16" s="9">
        <f t="shared" si="1"/>
        <v>1.000570907904069</v>
      </c>
      <c r="G16" s="9">
        <f t="shared" si="1"/>
        <v>1.0004368166240758</v>
      </c>
      <c r="H16" s="9">
        <f t="shared" si="1"/>
        <v>1.000310341076009</v>
      </c>
      <c r="I16" s="9">
        <f t="shared" si="1"/>
        <v>1.0000646307340499</v>
      </c>
      <c r="J16" s="9">
        <f t="shared" si="1"/>
        <v>1.0000564997085353</v>
      </c>
      <c r="K16" s="9">
        <f t="shared" si="1"/>
        <v>1.0000482189139517</v>
      </c>
      <c r="L16" s="9">
        <f t="shared" si="1"/>
        <v>1.0004428688026361</v>
      </c>
      <c r="M16" s="9">
        <f t="shared" si="1"/>
        <v>1.0003154289943326</v>
      </c>
      <c r="N16" s="9">
        <f t="shared" si="1"/>
        <v>1.000230208120974</v>
      </c>
    </row>
    <row r="17" spans="1:27" x14ac:dyDescent="0.2">
      <c r="B17" s="9" t="s">
        <v>8</v>
      </c>
      <c r="C17" s="9">
        <v>8.1928000000000001</v>
      </c>
      <c r="D17" s="9">
        <v>12.7666</v>
      </c>
      <c r="E17" s="9">
        <v>16.981100000000001</v>
      </c>
      <c r="F17" s="9">
        <v>3.0668799999999998</v>
      </c>
      <c r="G17" s="9">
        <v>7.2018399999999998</v>
      </c>
      <c r="H17" s="9">
        <v>11.251799999999999</v>
      </c>
      <c r="I17" s="9">
        <v>8.3422000000000001</v>
      </c>
      <c r="J17" s="9">
        <v>12.722</v>
      </c>
      <c r="K17" s="9">
        <v>16.175899999999999</v>
      </c>
      <c r="L17" s="9">
        <v>3.9595699999999998</v>
      </c>
      <c r="M17" s="9">
        <v>7.4183599999999998</v>
      </c>
      <c r="N17" s="14">
        <v>11.666399999999999</v>
      </c>
    </row>
    <row r="18" spans="1:27" x14ac:dyDescent="0.2">
      <c r="B18" s="9" t="s">
        <v>18</v>
      </c>
      <c r="C18" s="9">
        <v>22.9</v>
      </c>
      <c r="D18" s="9">
        <v>21.95</v>
      </c>
      <c r="E18" s="9">
        <v>21.75</v>
      </c>
      <c r="F18" s="9">
        <v>24.15</v>
      </c>
      <c r="G18" s="9">
        <v>23.1</v>
      </c>
      <c r="H18" s="9">
        <v>22.75</v>
      </c>
      <c r="I18" s="9">
        <v>20.2</v>
      </c>
      <c r="J18" s="9">
        <v>19.600000000000001</v>
      </c>
      <c r="K18" s="9">
        <v>19.133299999999998</v>
      </c>
      <c r="L18" s="9">
        <v>20.666699999999999</v>
      </c>
      <c r="M18" s="9">
        <v>20.533300000000001</v>
      </c>
      <c r="N18" s="14">
        <v>19.866700000000002</v>
      </c>
    </row>
    <row r="19" spans="1:27" x14ac:dyDescent="0.2">
      <c r="B19" s="9" t="s">
        <v>17</v>
      </c>
      <c r="C19" s="9">
        <v>21.75</v>
      </c>
      <c r="D19" s="9">
        <v>20.149999999999999</v>
      </c>
      <c r="E19" s="9">
        <v>20</v>
      </c>
      <c r="F19" s="9">
        <v>23.25</v>
      </c>
      <c r="G19" s="9">
        <v>21.8</v>
      </c>
      <c r="H19" s="9">
        <v>21.35</v>
      </c>
      <c r="I19" s="9">
        <v>19.2667</v>
      </c>
      <c r="J19" s="9">
        <v>18</v>
      </c>
      <c r="K19" s="9">
        <v>17.8</v>
      </c>
      <c r="L19" s="9">
        <v>19.966699999999999</v>
      </c>
      <c r="M19" s="9">
        <v>18.600000000000001</v>
      </c>
      <c r="N19" s="14">
        <v>18.2333</v>
      </c>
    </row>
    <row r="20" spans="1:27" x14ac:dyDescent="0.2">
      <c r="A20" t="s">
        <v>41</v>
      </c>
      <c r="B20" s="10" t="s">
        <v>5</v>
      </c>
      <c r="C20" s="10">
        <f>(C14/1000)*C11</f>
        <v>5.2454727303E-2</v>
      </c>
      <c r="D20" s="10">
        <f t="shared" ref="D20:H20" si="2">(D14/1000)*D11</f>
        <v>4.6144769886600004E-2</v>
      </c>
      <c r="E20" s="10">
        <f t="shared" si="2"/>
        <v>3.6859385395799998E-2</v>
      </c>
      <c r="F20" s="10">
        <f>(F14/1000)*F8</f>
        <v>0.57090790406905001</v>
      </c>
      <c r="G20" s="10">
        <f t="shared" ref="G20:H20" si="3">(G14/1000)*G8</f>
        <v>0.43681662407570004</v>
      </c>
      <c r="H20" s="10">
        <f t="shared" si="3"/>
        <v>0.31034107600895</v>
      </c>
      <c r="I20" s="10">
        <f>(I14/1000)*I11</f>
        <v>6.4630734050031599E-2</v>
      </c>
      <c r="J20" s="10">
        <f t="shared" ref="J20:L20" si="4">(J14/1000)*J11</f>
        <v>5.6499708535199998E-2</v>
      </c>
      <c r="K20" s="10">
        <f t="shared" si="4"/>
        <v>4.8218913951711601E-2</v>
      </c>
      <c r="L20" s="10">
        <f>(L14/1000)*L8</f>
        <v>0.44286880263600004</v>
      </c>
      <c r="M20" s="10">
        <f t="shared" ref="M20:N20" si="5">(M14/1000)*M8</f>
        <v>0.31542899433266003</v>
      </c>
      <c r="N20" s="10">
        <f t="shared" si="5"/>
        <v>0.23020812097400001</v>
      </c>
      <c r="AA20" s="5"/>
    </row>
    <row r="21" spans="1:27" x14ac:dyDescent="0.2">
      <c r="B21" s="10" t="s">
        <v>6</v>
      </c>
      <c r="C21" s="10">
        <f>(C15/1000)*C11</f>
        <v>1.0413994760399998</v>
      </c>
      <c r="D21" s="10">
        <f t="shared" ref="D21:N21" si="6">(D15/1000)*D11</f>
        <v>1.0490945460599999</v>
      </c>
      <c r="E21" s="10">
        <f t="shared" si="6"/>
        <v>1.05935463942</v>
      </c>
      <c r="F21" s="10">
        <f>(F15/1000)*F8</f>
        <v>5.0590219226700004</v>
      </c>
      <c r="G21" s="10">
        <f t="shared" ref="G21:H21" si="7">(G15/1000)*G8</f>
        <v>5.0590219226700004</v>
      </c>
      <c r="H21" s="10">
        <f t="shared" si="7"/>
        <v>5.0590219226700004</v>
      </c>
      <c r="I21" s="10">
        <f t="shared" si="6"/>
        <v>0.94166180891999995</v>
      </c>
      <c r="J21" s="10">
        <f t="shared" si="6"/>
        <v>0.95287206854999995</v>
      </c>
      <c r="K21" s="10">
        <f t="shared" si="6"/>
        <v>0.95511412047599986</v>
      </c>
      <c r="L21" s="10">
        <f>(L15/1000)*L8</f>
        <v>4.7507309770333404</v>
      </c>
      <c r="M21" s="10">
        <f t="shared" ref="M21:N21" si="8">(M15/1000)*M8</f>
        <v>4.7694348130000002</v>
      </c>
      <c r="N21" s="10">
        <f t="shared" si="8"/>
        <v>4.7872883123000003</v>
      </c>
    </row>
    <row r="22" spans="1:27" x14ac:dyDescent="0.2">
      <c r="B22" s="10" t="s">
        <v>22</v>
      </c>
      <c r="C22" s="10">
        <f>(C21-C20)/58.11</f>
        <v>1.7018495073773874E-2</v>
      </c>
      <c r="D22" s="10">
        <f t="shared" ref="D22:N22" si="9">(D21-D20)/58.11</f>
        <v>1.7259503978203406E-2</v>
      </c>
      <c r="E22" s="10">
        <f t="shared" si="9"/>
        <v>1.759585706460506E-2</v>
      </c>
      <c r="F22" s="10">
        <f t="shared" si="9"/>
        <v>7.7234796396505781E-2</v>
      </c>
      <c r="G22" s="10">
        <f t="shared" si="9"/>
        <v>7.9542338643853044E-2</v>
      </c>
      <c r="H22" s="10">
        <f t="shared" si="9"/>
        <v>8.1718823725022385E-2</v>
      </c>
      <c r="I22" s="10">
        <f>(I21-I20)/95.211</f>
        <v>9.2114469427898912E-3</v>
      </c>
      <c r="J22" s="10">
        <f t="shared" ref="J22:N22" si="10">(J21-J20)/95.211</f>
        <v>9.4145882305069779E-3</v>
      </c>
      <c r="K22" s="10">
        <f t="shared" si="10"/>
        <v>9.5251095621754663E-3</v>
      </c>
      <c r="L22" s="10">
        <f t="shared" si="10"/>
        <v>4.5245425154628566E-2</v>
      </c>
      <c r="M22" s="10">
        <f t="shared" si="10"/>
        <v>4.6780370111303746E-2</v>
      </c>
      <c r="N22" s="10">
        <f t="shared" si="10"/>
        <v>4.7862959020764415E-2</v>
      </c>
    </row>
    <row r="23" spans="1:27" ht="17" x14ac:dyDescent="0.2">
      <c r="B23" s="10" t="s">
        <v>20</v>
      </c>
      <c r="C23" s="10">
        <f>(2*C20*0.0821*(C18+273.15))/58.44</f>
        <v>4.3632755909724971E-2</v>
      </c>
      <c r="D23" s="10">
        <f t="shared" ref="D23:H24" si="11">2*D20*0.0821*(D18+273.15)/58.44</f>
        <v>3.8260852252884253E-2</v>
      </c>
      <c r="E23" s="10">
        <f t="shared" si="11"/>
        <v>3.0541179638585849E-2</v>
      </c>
      <c r="F23" s="10">
        <f t="shared" si="11"/>
        <v>0.47689625332394642</v>
      </c>
      <c r="G23" s="10">
        <f t="shared" si="11"/>
        <v>0.36359714349237471</v>
      </c>
      <c r="H23" s="10">
        <f t="shared" si="11"/>
        <v>0.25801631733419117</v>
      </c>
      <c r="I23" s="10">
        <f>3*I20*0.0821*(I18+273.15)/95.211</f>
        <v>4.9045872670279246E-2</v>
      </c>
      <c r="J23" s="10">
        <f t="shared" ref="J23:N24" si="12">3*J20*0.0821*(J18+273.15)/95.211</f>
        <v>4.2787843281000458E-2</v>
      </c>
      <c r="K23" s="10">
        <f t="shared" si="12"/>
        <v>3.6458492872402923E-2</v>
      </c>
      <c r="L23" s="10">
        <f t="shared" si="12"/>
        <v>0.33661142310666203</v>
      </c>
      <c r="M23" s="10">
        <f t="shared" si="12"/>
        <v>0.23963935836542441</v>
      </c>
      <c r="N23" s="10">
        <f t="shared" si="12"/>
        <v>0.17449793754653201</v>
      </c>
    </row>
    <row r="24" spans="1:27" ht="17" x14ac:dyDescent="0.2">
      <c r="B24" s="10" t="s">
        <v>21</v>
      </c>
      <c r="C24" s="10">
        <f>2*C21*0.0821*(C19+273.15)/58.44</f>
        <v>0.86288927858495845</v>
      </c>
      <c r="D24" s="10">
        <f t="shared" si="11"/>
        <v>0.86454904970932811</v>
      </c>
      <c r="E24" s="10">
        <f t="shared" si="11"/>
        <v>0.87255782375168989</v>
      </c>
      <c r="F24" s="10">
        <f t="shared" si="11"/>
        <v>4.2131576124537222</v>
      </c>
      <c r="G24" s="10">
        <f t="shared" si="11"/>
        <v>4.1925466862119611</v>
      </c>
      <c r="H24" s="10">
        <f t="shared" si="11"/>
        <v>4.1861501918610706</v>
      </c>
      <c r="I24" s="10">
        <f>3*I21*0.0821*(I19+273.15)/95.211</f>
        <v>0.71231881197536728</v>
      </c>
      <c r="J24" s="10">
        <f t="shared" si="12"/>
        <v>0.71767641857954745</v>
      </c>
      <c r="K24" s="10">
        <f t="shared" si="12"/>
        <v>0.71887091471278342</v>
      </c>
      <c r="L24" s="10">
        <f t="shared" si="12"/>
        <v>3.6022867932656597</v>
      </c>
      <c r="M24" s="10">
        <f t="shared" si="12"/>
        <v>3.5996068314420007</v>
      </c>
      <c r="N24" s="10">
        <f t="shared" si="12"/>
        <v>3.6085400207574798</v>
      </c>
    </row>
    <row r="25" spans="1:27" x14ac:dyDescent="0.2">
      <c r="B25" s="11" t="s">
        <v>14</v>
      </c>
      <c r="C25" s="11">
        <f>EXP(2996*(1/(C19+273)-1/298))</f>
        <v>1.1172328409769297</v>
      </c>
      <c r="D25" s="11">
        <f t="shared" ref="D25:N25" si="13">EXP(2996*(1/(D19+273)-1/298))</f>
        <v>1.1809658296499161</v>
      </c>
      <c r="E25" s="11">
        <f t="shared" si="13"/>
        <v>1.187160946626882</v>
      </c>
      <c r="F25" s="11">
        <f t="shared" si="13"/>
        <v>1.0611878496767186</v>
      </c>
      <c r="G25" s="11">
        <f t="shared" si="13"/>
        <v>1.1153084207568573</v>
      </c>
      <c r="H25" s="11">
        <f t="shared" si="13"/>
        <v>1.1327721076228772</v>
      </c>
      <c r="I25" s="11">
        <f t="shared" si="13"/>
        <v>1.2180119305827781</v>
      </c>
      <c r="J25" s="11">
        <f t="shared" si="13"/>
        <v>1.273592147990261</v>
      </c>
      <c r="K25" s="11">
        <f t="shared" si="13"/>
        <v>1.2826422458902282</v>
      </c>
      <c r="L25" s="11">
        <f t="shared" si="13"/>
        <v>1.1885415285056111</v>
      </c>
      <c r="M25" s="11">
        <f t="shared" si="13"/>
        <v>1.2468958556958085</v>
      </c>
      <c r="N25" s="11">
        <f t="shared" si="13"/>
        <v>1.2631313887042983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7" ht="17" x14ac:dyDescent="0.2">
      <c r="B26" s="10" t="s">
        <v>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6"/>
      <c r="P26" s="16"/>
      <c r="Q26" s="16"/>
      <c r="R26" s="16"/>
      <c r="S26" s="16"/>
      <c r="U26" s="16"/>
      <c r="V26" s="16"/>
      <c r="W26" s="16"/>
      <c r="X26" s="16"/>
      <c r="Y26" s="16"/>
      <c r="Z26" s="16"/>
    </row>
    <row r="27" spans="1:27" ht="17" x14ac:dyDescent="0.2">
      <c r="B27" s="10" t="s">
        <v>10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7" ht="17" x14ac:dyDescent="0.2">
      <c r="B28" s="10" t="s">
        <v>11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7" ht="17" x14ac:dyDescent="0.2">
      <c r="B29" s="10" t="s">
        <v>12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7" x14ac:dyDescent="0.2">
      <c r="B30" s="10" t="s">
        <v>34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7" ht="17" x14ac:dyDescent="0.2">
      <c r="B31" s="10" t="s">
        <v>13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">
      <c r="B35" s="1" t="s">
        <v>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28">
    <mergeCell ref="R11:T11"/>
    <mergeCell ref="R12:T12"/>
    <mergeCell ref="O8:Q8"/>
    <mergeCell ref="O9:Q9"/>
    <mergeCell ref="U8:W8"/>
    <mergeCell ref="U9:W9"/>
    <mergeCell ref="I3:N3"/>
    <mergeCell ref="I5:K5"/>
    <mergeCell ref="L5:N5"/>
    <mergeCell ref="C3:H3"/>
    <mergeCell ref="C5:E5"/>
    <mergeCell ref="F5:H5"/>
    <mergeCell ref="O3:T3"/>
    <mergeCell ref="U5:W5"/>
    <mergeCell ref="U3:Z3"/>
    <mergeCell ref="X12:Z12"/>
    <mergeCell ref="X11:Z11"/>
    <mergeCell ref="X9:Z9"/>
    <mergeCell ref="X8:Z8"/>
    <mergeCell ref="X5:Z5"/>
    <mergeCell ref="O11:Q11"/>
    <mergeCell ref="U11:W11"/>
    <mergeCell ref="O12:Q12"/>
    <mergeCell ref="U12:W12"/>
    <mergeCell ref="O5:Q5"/>
    <mergeCell ref="R5:T5"/>
    <mergeCell ref="R8:T8"/>
    <mergeCell ref="R9:T9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4BF0-FC9E-1649-B74A-1D2D26E94D1A}">
  <dimension ref="A1:G13"/>
  <sheetViews>
    <sheetView zoomScale="140" zoomScaleNormal="140" workbookViewId="0">
      <selection activeCell="A13" sqref="A1:A13"/>
    </sheetView>
  </sheetViews>
  <sheetFormatPr baseColWidth="10" defaultRowHeight="15" x14ac:dyDescent="0.2"/>
  <cols>
    <col min="1" max="4" width="19.5" customWidth="1"/>
    <col min="5" max="5" width="18" customWidth="1"/>
    <col min="6" max="6" width="18.33203125" customWidth="1"/>
    <col min="7" max="7" width="19.83203125" customWidth="1"/>
  </cols>
  <sheetData>
    <row r="1" spans="1:7" ht="32" x14ac:dyDescent="0.2">
      <c r="A1" t="s">
        <v>44</v>
      </c>
      <c r="B1" s="18" t="str" cm="1">
        <f t="array" ref="B1:B13">TRANSPOSE(Sheet1!B13:N13)</f>
        <v>Transmembrane Pressure drop, psi</v>
      </c>
      <c r="C1" s="18" t="s">
        <v>43</v>
      </c>
      <c r="D1" s="18" t="str" cm="1">
        <f t="array" ref="D1:D13">TRANSPOSE(Sheet1!B26:N26)</f>
        <v>Water Flux corrected to 25°C Jw, mol/m^2-hr</v>
      </c>
      <c r="E1" s="18" t="s">
        <v>42</v>
      </c>
    </row>
    <row r="2" spans="1:7" x14ac:dyDescent="0.2">
      <c r="A2">
        <v>1</v>
      </c>
      <c r="B2">
        <v>75</v>
      </c>
      <c r="C2">
        <f>B2*6894.7572931783/1000</f>
        <v>517.10679698837248</v>
      </c>
      <c r="D2">
        <v>0</v>
      </c>
      <c r="E2">
        <f>((D2*18.016)/'water density'!$E$8)/1000</f>
        <v>0</v>
      </c>
    </row>
    <row r="3" spans="1:7" x14ac:dyDescent="0.2">
      <c r="A3">
        <v>1</v>
      </c>
      <c r="B3">
        <v>115</v>
      </c>
      <c r="C3">
        <f t="shared" ref="C3:C13" si="0">B3*6894.7572931783/1000</f>
        <v>792.89708871550454</v>
      </c>
      <c r="D3">
        <v>0</v>
      </c>
      <c r="E3">
        <f>((D3*18.016)/'water density'!$E$8)/1000</f>
        <v>0</v>
      </c>
    </row>
    <row r="4" spans="1:7" x14ac:dyDescent="0.2">
      <c r="A4">
        <v>1</v>
      </c>
      <c r="B4">
        <v>155</v>
      </c>
      <c r="C4">
        <f t="shared" si="0"/>
        <v>1068.6873804426366</v>
      </c>
      <c r="D4">
        <v>0</v>
      </c>
      <c r="E4">
        <f>((D4*18.016)/'water density'!$E$8)/1000</f>
        <v>0</v>
      </c>
    </row>
    <row r="5" spans="1:7" x14ac:dyDescent="0.2">
      <c r="A5">
        <v>2</v>
      </c>
      <c r="B5">
        <v>75</v>
      </c>
      <c r="C5">
        <f t="shared" si="0"/>
        <v>517.10679698837248</v>
      </c>
      <c r="D5">
        <v>0</v>
      </c>
      <c r="E5">
        <f>((D5*18.016)/'water density'!$E$8)/1000</f>
        <v>0</v>
      </c>
    </row>
    <row r="6" spans="1:7" x14ac:dyDescent="0.2">
      <c r="A6">
        <v>2</v>
      </c>
      <c r="B6">
        <v>115</v>
      </c>
      <c r="C6">
        <f t="shared" si="0"/>
        <v>792.89708871550454</v>
      </c>
      <c r="D6">
        <v>0</v>
      </c>
      <c r="E6">
        <f>((D6*18.016)/'water density'!$E$8)/1000</f>
        <v>0</v>
      </c>
    </row>
    <row r="7" spans="1:7" x14ac:dyDescent="0.2">
      <c r="A7">
        <v>2</v>
      </c>
      <c r="B7">
        <v>155</v>
      </c>
      <c r="C7">
        <f t="shared" si="0"/>
        <v>1068.6873804426366</v>
      </c>
      <c r="D7">
        <v>0</v>
      </c>
      <c r="E7">
        <f>((D7*18.016)/'water density'!$E$8)/1000</f>
        <v>0</v>
      </c>
    </row>
    <row r="8" spans="1:7" ht="38" customHeight="1" x14ac:dyDescent="0.2">
      <c r="A8">
        <v>3</v>
      </c>
      <c r="B8">
        <v>75</v>
      </c>
      <c r="C8">
        <f t="shared" si="0"/>
        <v>517.10679698837248</v>
      </c>
      <c r="D8">
        <v>0</v>
      </c>
      <c r="E8">
        <f>((D8*18.016)/'water density'!$E$8)/1000</f>
        <v>0</v>
      </c>
      <c r="G8" s="18"/>
    </row>
    <row r="9" spans="1:7" x14ac:dyDescent="0.2">
      <c r="A9">
        <v>3</v>
      </c>
      <c r="B9">
        <v>115</v>
      </c>
      <c r="C9">
        <f t="shared" si="0"/>
        <v>792.89708871550454</v>
      </c>
      <c r="D9">
        <v>0</v>
      </c>
      <c r="E9">
        <f>((D9*18.016)/'water density'!$E$8)/1000</f>
        <v>0</v>
      </c>
    </row>
    <row r="10" spans="1:7" x14ac:dyDescent="0.2">
      <c r="A10">
        <v>3</v>
      </c>
      <c r="B10">
        <v>155</v>
      </c>
      <c r="C10">
        <f t="shared" si="0"/>
        <v>1068.6873804426366</v>
      </c>
      <c r="D10">
        <v>0</v>
      </c>
      <c r="E10">
        <f>((D10*18.016)/'water density'!$E$8)/1000</f>
        <v>0</v>
      </c>
    </row>
    <row r="11" spans="1:7" x14ac:dyDescent="0.2">
      <c r="A11">
        <v>4</v>
      </c>
      <c r="B11">
        <v>75</v>
      </c>
      <c r="C11">
        <f t="shared" si="0"/>
        <v>517.10679698837248</v>
      </c>
      <c r="D11">
        <v>0</v>
      </c>
      <c r="E11">
        <f>((D11*18.016)/'water density'!$E$8)/1000</f>
        <v>0</v>
      </c>
    </row>
    <row r="12" spans="1:7" x14ac:dyDescent="0.2">
      <c r="A12">
        <v>4</v>
      </c>
      <c r="B12">
        <v>115</v>
      </c>
      <c r="C12">
        <f t="shared" si="0"/>
        <v>792.89708871550454</v>
      </c>
      <c r="D12">
        <v>0</v>
      </c>
      <c r="E12">
        <f>((D12*18.016)/'water density'!$E$8)/1000</f>
        <v>0</v>
      </c>
    </row>
    <row r="13" spans="1:7" x14ac:dyDescent="0.2">
      <c r="A13">
        <v>4</v>
      </c>
      <c r="B13">
        <v>155</v>
      </c>
      <c r="C13">
        <f t="shared" si="0"/>
        <v>1068.6873804426366</v>
      </c>
      <c r="D13">
        <v>0</v>
      </c>
      <c r="E13">
        <f>((D13*18.016)/'water density'!$E$8)/1000</f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2749-D02D-4E4E-8932-C02A790ACEB4}">
  <dimension ref="A1:J13"/>
  <sheetViews>
    <sheetView zoomScale="160" zoomScaleNormal="160" workbookViewId="0">
      <selection activeCell="J2" sqref="J2:J4"/>
    </sheetView>
  </sheetViews>
  <sheetFormatPr baseColWidth="10" defaultRowHeight="15" x14ac:dyDescent="0.2"/>
  <cols>
    <col min="2" max="7" width="15.33203125" customWidth="1"/>
  </cols>
  <sheetData>
    <row r="1" spans="1:10" ht="64" x14ac:dyDescent="0.2">
      <c r="A1" t="s">
        <v>44</v>
      </c>
      <c r="B1" s="18" t="str" cm="1">
        <f t="array" ref="B1:B13">TRANSPOSE(Sheet1!B13:N13)</f>
        <v>Transmembrane Pressure drop, psi</v>
      </c>
      <c r="C1" s="18" t="s">
        <v>43</v>
      </c>
      <c r="D1" s="18" t="str" cm="1">
        <f t="array" ref="D1:D13">TRANSPOSE(Sheet1!B24:N24)</f>
        <v>Feed Osmotic pressure, pf (atm)</v>
      </c>
      <c r="E1" s="18" t="s">
        <v>45</v>
      </c>
      <c r="F1" s="18" t="str" cm="1">
        <f t="array" ref="F1:F13">TRANSPOSE(Sheet1!B23:N23)</f>
        <v>Permeate Osmotic pressure, pp (atm)</v>
      </c>
      <c r="G1" s="18" t="s">
        <v>45</v>
      </c>
      <c r="H1" s="18" t="s">
        <v>46</v>
      </c>
      <c r="I1" s="18" t="s">
        <v>47</v>
      </c>
      <c r="J1" t="str" cm="1">
        <f t="array" ref="J1:J13">fluxVsPressure!E1:E13</f>
        <v>Water Flux corrected to 25°C Jw, L/m^2-hr</v>
      </c>
    </row>
    <row r="2" spans="1:10" x14ac:dyDescent="0.2">
      <c r="A2">
        <v>1</v>
      </c>
      <c r="B2">
        <v>75</v>
      </c>
      <c r="C2">
        <f>B2*6894.7572931783/1000</f>
        <v>517.10679698837248</v>
      </c>
      <c r="D2">
        <v>0.86288927858495845</v>
      </c>
      <c r="E2">
        <f>D2*101.325</f>
        <v>87.432256152620923</v>
      </c>
      <c r="F2">
        <v>4.3632755909724971E-2</v>
      </c>
      <c r="G2">
        <f>F2*101.325</f>
        <v>4.4210889925528827</v>
      </c>
      <c r="H2">
        <f>E2-G2</f>
        <v>83.011167160068041</v>
      </c>
      <c r="I2">
        <f>C2-H2</f>
        <v>434.09562982830442</v>
      </c>
      <c r="J2">
        <v>0</v>
      </c>
    </row>
    <row r="3" spans="1:10" x14ac:dyDescent="0.2">
      <c r="A3">
        <v>1</v>
      </c>
      <c r="B3">
        <v>115</v>
      </c>
      <c r="C3">
        <f t="shared" ref="C3:C13" si="0">B3*6894.7572931783/1000</f>
        <v>792.89708871550454</v>
      </c>
      <c r="D3">
        <v>0.86454904970932811</v>
      </c>
      <c r="E3">
        <f t="shared" ref="E3:E13" si="1">D3*101.325</f>
        <v>87.600432461797666</v>
      </c>
      <c r="F3">
        <v>3.8260852252884253E-2</v>
      </c>
      <c r="G3">
        <f t="shared" ref="G3:G13" si="2">F3*101.325</f>
        <v>3.876780854523497</v>
      </c>
      <c r="H3">
        <f t="shared" ref="H3:H13" si="3">E3-G3</f>
        <v>83.723651607274164</v>
      </c>
      <c r="I3">
        <f t="shared" ref="I3:I13" si="4">C3-H3</f>
        <v>709.17343710823036</v>
      </c>
      <c r="J3">
        <v>0</v>
      </c>
    </row>
    <row r="4" spans="1:10" x14ac:dyDescent="0.2">
      <c r="A4">
        <v>1</v>
      </c>
      <c r="B4">
        <v>155</v>
      </c>
      <c r="C4">
        <f t="shared" si="0"/>
        <v>1068.6873804426366</v>
      </c>
      <c r="D4">
        <v>0.87255782375168989</v>
      </c>
      <c r="E4">
        <f t="shared" si="1"/>
        <v>88.411921491639987</v>
      </c>
      <c r="F4">
        <v>3.0541179638585849E-2</v>
      </c>
      <c r="G4">
        <f t="shared" si="2"/>
        <v>3.0945850268797113</v>
      </c>
      <c r="H4">
        <f t="shared" si="3"/>
        <v>85.317336464760274</v>
      </c>
      <c r="I4">
        <f t="shared" si="4"/>
        <v>983.37004397787632</v>
      </c>
      <c r="J4">
        <v>0</v>
      </c>
    </row>
    <row r="5" spans="1:10" x14ac:dyDescent="0.2">
      <c r="A5">
        <v>2</v>
      </c>
      <c r="B5">
        <v>75</v>
      </c>
      <c r="C5">
        <f t="shared" si="0"/>
        <v>517.10679698837248</v>
      </c>
      <c r="D5">
        <v>4.2131576124537222</v>
      </c>
      <c r="E5">
        <f t="shared" si="1"/>
        <v>426.89819508187344</v>
      </c>
      <c r="F5">
        <v>0.47689625332394642</v>
      </c>
      <c r="G5">
        <f t="shared" si="2"/>
        <v>48.32151286804887</v>
      </c>
      <c r="H5">
        <f t="shared" si="3"/>
        <v>378.5766822138246</v>
      </c>
      <c r="I5">
        <f t="shared" si="4"/>
        <v>138.53011477454788</v>
      </c>
      <c r="J5">
        <v>0</v>
      </c>
    </row>
    <row r="6" spans="1:10" x14ac:dyDescent="0.2">
      <c r="A6">
        <v>2</v>
      </c>
      <c r="B6">
        <v>115</v>
      </c>
      <c r="C6">
        <f t="shared" si="0"/>
        <v>792.89708871550454</v>
      </c>
      <c r="D6">
        <v>4.1925466862119611</v>
      </c>
      <c r="E6">
        <f t="shared" si="1"/>
        <v>424.80979298042695</v>
      </c>
      <c r="F6">
        <v>0.36359714349237471</v>
      </c>
      <c r="G6">
        <f t="shared" si="2"/>
        <v>36.841480564364865</v>
      </c>
      <c r="H6">
        <f t="shared" si="3"/>
        <v>387.96831241606208</v>
      </c>
      <c r="I6">
        <f t="shared" si="4"/>
        <v>404.92877629944246</v>
      </c>
      <c r="J6">
        <v>0</v>
      </c>
    </row>
    <row r="7" spans="1:10" x14ac:dyDescent="0.2">
      <c r="A7">
        <v>2</v>
      </c>
      <c r="B7">
        <v>155</v>
      </c>
      <c r="C7">
        <f t="shared" si="0"/>
        <v>1068.6873804426366</v>
      </c>
      <c r="D7">
        <v>4.1861501918610706</v>
      </c>
      <c r="E7">
        <f t="shared" si="1"/>
        <v>424.16166819032298</v>
      </c>
      <c r="F7">
        <v>0.25801631733419117</v>
      </c>
      <c r="G7">
        <f t="shared" si="2"/>
        <v>26.143503353886921</v>
      </c>
      <c r="H7">
        <f t="shared" si="3"/>
        <v>398.01816483643609</v>
      </c>
      <c r="I7">
        <f t="shared" si="4"/>
        <v>670.66921560620051</v>
      </c>
      <c r="J7">
        <v>0</v>
      </c>
    </row>
    <row r="8" spans="1:10" x14ac:dyDescent="0.2">
      <c r="A8">
        <v>3</v>
      </c>
      <c r="B8">
        <v>75</v>
      </c>
      <c r="C8">
        <f t="shared" si="0"/>
        <v>517.10679698837248</v>
      </c>
      <c r="D8">
        <v>0.71231881197536728</v>
      </c>
      <c r="E8">
        <f t="shared" si="1"/>
        <v>72.17570362340409</v>
      </c>
      <c r="F8">
        <v>4.9045872670279246E-2</v>
      </c>
      <c r="G8">
        <f t="shared" si="2"/>
        <v>4.969573048316045</v>
      </c>
      <c r="H8">
        <f t="shared" si="3"/>
        <v>67.206130575088039</v>
      </c>
      <c r="I8">
        <f t="shared" si="4"/>
        <v>449.90066641328445</v>
      </c>
      <c r="J8">
        <v>0</v>
      </c>
    </row>
    <row r="9" spans="1:10" x14ac:dyDescent="0.2">
      <c r="A9">
        <v>3</v>
      </c>
      <c r="B9">
        <v>115</v>
      </c>
      <c r="C9">
        <f t="shared" si="0"/>
        <v>792.89708871550454</v>
      </c>
      <c r="D9">
        <v>0.71767641857954745</v>
      </c>
      <c r="E9">
        <f t="shared" si="1"/>
        <v>72.718563112572653</v>
      </c>
      <c r="F9">
        <v>4.2787843281000458E-2</v>
      </c>
      <c r="G9">
        <f t="shared" si="2"/>
        <v>4.3354782204473716</v>
      </c>
      <c r="H9">
        <f t="shared" si="3"/>
        <v>68.383084892125282</v>
      </c>
      <c r="I9">
        <f t="shared" si="4"/>
        <v>724.5140038233792</v>
      </c>
      <c r="J9">
        <v>0</v>
      </c>
    </row>
    <row r="10" spans="1:10" x14ac:dyDescent="0.2">
      <c r="A10">
        <v>3</v>
      </c>
      <c r="B10">
        <v>155</v>
      </c>
      <c r="C10">
        <f t="shared" si="0"/>
        <v>1068.6873804426366</v>
      </c>
      <c r="D10">
        <v>0.71887091471278342</v>
      </c>
      <c r="E10">
        <f t="shared" si="1"/>
        <v>72.839595433272777</v>
      </c>
      <c r="F10">
        <v>3.6458492872402923E-2</v>
      </c>
      <c r="G10">
        <f t="shared" si="2"/>
        <v>3.6941567902962262</v>
      </c>
      <c r="H10">
        <f t="shared" si="3"/>
        <v>69.145438642976558</v>
      </c>
      <c r="I10">
        <f t="shared" si="4"/>
        <v>999.54194179965998</v>
      </c>
      <c r="J10">
        <v>0</v>
      </c>
    </row>
    <row r="11" spans="1:10" x14ac:dyDescent="0.2">
      <c r="A11">
        <v>4</v>
      </c>
      <c r="B11">
        <v>75</v>
      </c>
      <c r="C11">
        <f t="shared" si="0"/>
        <v>517.10679698837248</v>
      </c>
      <c r="D11">
        <v>3.6022867932656597</v>
      </c>
      <c r="E11">
        <f t="shared" si="1"/>
        <v>365.00170932764297</v>
      </c>
      <c r="F11">
        <v>0.33661142310666203</v>
      </c>
      <c r="G11">
        <f t="shared" si="2"/>
        <v>34.107152446282534</v>
      </c>
      <c r="H11">
        <f t="shared" si="3"/>
        <v>330.89455688136042</v>
      </c>
      <c r="I11">
        <f t="shared" si="4"/>
        <v>186.21224010701206</v>
      </c>
      <c r="J11">
        <v>0</v>
      </c>
    </row>
    <row r="12" spans="1:10" x14ac:dyDescent="0.2">
      <c r="A12">
        <v>4</v>
      </c>
      <c r="B12">
        <v>115</v>
      </c>
      <c r="C12">
        <f t="shared" si="0"/>
        <v>792.89708871550454</v>
      </c>
      <c r="D12">
        <v>3.5996068314420007</v>
      </c>
      <c r="E12">
        <f t="shared" si="1"/>
        <v>364.73016219586071</v>
      </c>
      <c r="F12">
        <v>0.23963935836542441</v>
      </c>
      <c r="G12">
        <f t="shared" si="2"/>
        <v>24.28145798637663</v>
      </c>
      <c r="H12">
        <f t="shared" si="3"/>
        <v>340.44870420948411</v>
      </c>
      <c r="I12">
        <f t="shared" si="4"/>
        <v>452.44838450602043</v>
      </c>
      <c r="J12">
        <v>0</v>
      </c>
    </row>
    <row r="13" spans="1:10" x14ac:dyDescent="0.2">
      <c r="A13">
        <v>4</v>
      </c>
      <c r="B13">
        <v>155</v>
      </c>
      <c r="C13">
        <f t="shared" si="0"/>
        <v>1068.6873804426366</v>
      </c>
      <c r="D13">
        <v>3.6085400207574798</v>
      </c>
      <c r="E13">
        <f t="shared" si="1"/>
        <v>365.63531760325168</v>
      </c>
      <c r="F13">
        <v>0.17449793754653201</v>
      </c>
      <c r="G13">
        <f t="shared" si="2"/>
        <v>17.681003521902355</v>
      </c>
      <c r="H13">
        <f t="shared" si="3"/>
        <v>347.95431408134931</v>
      </c>
      <c r="I13">
        <f t="shared" si="4"/>
        <v>720.73306636128723</v>
      </c>
      <c r="J13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1540-776A-F943-B79E-86806F7B9675}">
  <dimension ref="A1:C16"/>
  <sheetViews>
    <sheetView zoomScale="190" zoomScaleNormal="190" workbookViewId="0">
      <selection activeCell="C1" sqref="C1"/>
    </sheetView>
  </sheetViews>
  <sheetFormatPr baseColWidth="10" defaultRowHeight="15" x14ac:dyDescent="0.2"/>
  <cols>
    <col min="1" max="5" width="22.1640625" customWidth="1"/>
  </cols>
  <sheetData>
    <row r="1" spans="1:3" ht="44" customHeight="1" x14ac:dyDescent="0.2">
      <c r="A1" t="s">
        <v>44</v>
      </c>
      <c r="B1" s="18" t="str" cm="1">
        <f t="array" ref="B1:B13">TRANSPOSE(Sheet1!B27:N27)</f>
        <v>Salt Flux corrected to 25°C Js, mol/m^2-hr</v>
      </c>
      <c r="C1" t="str" cm="1">
        <f t="array" ref="C1:C13">TRANSPOSE(Sheet1!B22:N22)</f>
        <v>Salt concentration Gradient, DCs, mol/L</v>
      </c>
    </row>
    <row r="2" spans="1:3" x14ac:dyDescent="0.2">
      <c r="A2">
        <v>1</v>
      </c>
      <c r="B2">
        <v>0</v>
      </c>
      <c r="C2">
        <v>1.7018495073773874E-2</v>
      </c>
    </row>
    <row r="3" spans="1:3" x14ac:dyDescent="0.2">
      <c r="A3">
        <v>1</v>
      </c>
      <c r="B3">
        <v>0</v>
      </c>
      <c r="C3">
        <v>1.7259503978203406E-2</v>
      </c>
    </row>
    <row r="4" spans="1:3" x14ac:dyDescent="0.2">
      <c r="A4">
        <v>1</v>
      </c>
      <c r="B4">
        <v>0</v>
      </c>
      <c r="C4">
        <v>1.759585706460506E-2</v>
      </c>
    </row>
    <row r="5" spans="1:3" x14ac:dyDescent="0.2">
      <c r="A5">
        <v>2</v>
      </c>
      <c r="B5">
        <v>0</v>
      </c>
      <c r="C5">
        <v>7.7234796396505781E-2</v>
      </c>
    </row>
    <row r="6" spans="1:3" x14ac:dyDescent="0.2">
      <c r="A6">
        <v>2</v>
      </c>
      <c r="B6">
        <v>0</v>
      </c>
      <c r="C6">
        <v>7.9542338643853044E-2</v>
      </c>
    </row>
    <row r="7" spans="1:3" x14ac:dyDescent="0.2">
      <c r="A7">
        <v>2</v>
      </c>
      <c r="B7">
        <v>0</v>
      </c>
      <c r="C7">
        <v>8.1718823725022385E-2</v>
      </c>
    </row>
    <row r="8" spans="1:3" x14ac:dyDescent="0.2">
      <c r="A8">
        <v>3</v>
      </c>
      <c r="B8">
        <v>0</v>
      </c>
      <c r="C8">
        <v>9.2114469427898912E-3</v>
      </c>
    </row>
    <row r="9" spans="1:3" x14ac:dyDescent="0.2">
      <c r="A9">
        <v>3</v>
      </c>
      <c r="B9">
        <v>0</v>
      </c>
      <c r="C9">
        <v>9.4145882305069779E-3</v>
      </c>
    </row>
    <row r="10" spans="1:3" x14ac:dyDescent="0.2">
      <c r="A10">
        <v>3</v>
      </c>
      <c r="B10">
        <v>0</v>
      </c>
      <c r="C10">
        <v>9.5251095621754663E-3</v>
      </c>
    </row>
    <row r="11" spans="1:3" x14ac:dyDescent="0.2">
      <c r="A11">
        <v>4</v>
      </c>
      <c r="B11">
        <v>0</v>
      </c>
      <c r="C11">
        <v>4.5245425154628566E-2</v>
      </c>
    </row>
    <row r="12" spans="1:3" x14ac:dyDescent="0.2">
      <c r="A12">
        <v>4</v>
      </c>
      <c r="B12">
        <v>0</v>
      </c>
      <c r="C12">
        <v>4.6780370111303746E-2</v>
      </c>
    </row>
    <row r="13" spans="1:3" x14ac:dyDescent="0.2">
      <c r="A13">
        <v>4</v>
      </c>
      <c r="B13">
        <v>0</v>
      </c>
      <c r="C13">
        <v>4.7862959020764415E-2</v>
      </c>
    </row>
    <row r="16" spans="1:3" x14ac:dyDescent="0.2">
      <c r="B16" t="s">
        <v>48</v>
      </c>
      <c r="C16" t="s">
        <v>49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EAE4-8095-8840-A193-F58613B32337}">
  <dimension ref="A1:D15"/>
  <sheetViews>
    <sheetView zoomScale="180" zoomScaleNormal="180" workbookViewId="0">
      <selection activeCell="D15" sqref="D15"/>
    </sheetView>
  </sheetViews>
  <sheetFormatPr baseColWidth="10" defaultRowHeight="15" x14ac:dyDescent="0.2"/>
  <sheetData>
    <row r="1" spans="1:4" ht="49" customHeight="1" x14ac:dyDescent="0.2">
      <c r="A1" s="18" t="s">
        <v>44</v>
      </c>
      <c r="B1" s="18" t="str" cm="1">
        <f t="array" ref="B1:B13">fluxVsPressure!E1:E13</f>
        <v>Water Flux corrected to 25°C Jw, L/m^2-hr</v>
      </c>
      <c r="C1" s="18" t="str" cm="1">
        <f t="array" ref="C1:C13">fluxVsPressure!C1:C13</f>
        <v>Transmembrane Pressure drop, kPa</v>
      </c>
      <c r="D1" s="18" t="str" cm="1">
        <f t="array" ref="D1:D13">fluxVsPDiff!I1:I13</f>
        <v>Delta P - Delta Pi (kPa)</v>
      </c>
    </row>
    <row r="2" spans="1:4" x14ac:dyDescent="0.2">
      <c r="A2">
        <v>1</v>
      </c>
      <c r="B2">
        <v>0</v>
      </c>
      <c r="C2">
        <v>517.10679698837248</v>
      </c>
      <c r="D2">
        <v>434.09562982830442</v>
      </c>
    </row>
    <row r="3" spans="1:4" x14ac:dyDescent="0.2">
      <c r="A3">
        <v>1</v>
      </c>
      <c r="B3">
        <v>0</v>
      </c>
      <c r="C3">
        <v>792.89708871550454</v>
      </c>
      <c r="D3">
        <v>709.17343710823036</v>
      </c>
    </row>
    <row r="4" spans="1:4" x14ac:dyDescent="0.2">
      <c r="A4">
        <v>1</v>
      </c>
      <c r="B4">
        <v>0</v>
      </c>
      <c r="C4">
        <v>1068.6873804426366</v>
      </c>
      <c r="D4">
        <v>983.37004397787632</v>
      </c>
    </row>
    <row r="5" spans="1:4" x14ac:dyDescent="0.2">
      <c r="A5">
        <v>2</v>
      </c>
      <c r="B5">
        <v>0</v>
      </c>
      <c r="C5">
        <v>517.10679698837248</v>
      </c>
      <c r="D5">
        <v>138.53011477454788</v>
      </c>
    </row>
    <row r="6" spans="1:4" x14ac:dyDescent="0.2">
      <c r="A6">
        <v>2</v>
      </c>
      <c r="B6">
        <v>0</v>
      </c>
      <c r="C6">
        <v>792.89708871550454</v>
      </c>
      <c r="D6">
        <v>404.92877629944246</v>
      </c>
    </row>
    <row r="7" spans="1:4" x14ac:dyDescent="0.2">
      <c r="A7">
        <v>2</v>
      </c>
      <c r="B7">
        <v>0</v>
      </c>
      <c r="C7">
        <v>1068.6873804426366</v>
      </c>
      <c r="D7">
        <v>670.66921560620051</v>
      </c>
    </row>
    <row r="8" spans="1:4" x14ac:dyDescent="0.2">
      <c r="A8">
        <v>3</v>
      </c>
      <c r="B8">
        <v>0</v>
      </c>
      <c r="C8">
        <v>517.10679698837248</v>
      </c>
      <c r="D8">
        <v>449.90066641328445</v>
      </c>
    </row>
    <row r="9" spans="1:4" x14ac:dyDescent="0.2">
      <c r="A9">
        <v>3</v>
      </c>
      <c r="B9">
        <v>0</v>
      </c>
      <c r="C9">
        <v>792.89708871550454</v>
      </c>
      <c r="D9">
        <v>724.5140038233792</v>
      </c>
    </row>
    <row r="10" spans="1:4" x14ac:dyDescent="0.2">
      <c r="A10">
        <v>3</v>
      </c>
      <c r="B10">
        <v>0</v>
      </c>
      <c r="C10">
        <v>1068.6873804426366</v>
      </c>
      <c r="D10">
        <v>999.54194179965998</v>
      </c>
    </row>
    <row r="11" spans="1:4" x14ac:dyDescent="0.2">
      <c r="A11">
        <v>4</v>
      </c>
      <c r="B11">
        <v>0</v>
      </c>
      <c r="C11">
        <v>517.10679698837248</v>
      </c>
      <c r="D11">
        <v>186.21224010701206</v>
      </c>
    </row>
    <row r="12" spans="1:4" x14ac:dyDescent="0.2">
      <c r="A12">
        <v>4</v>
      </c>
      <c r="B12">
        <v>0</v>
      </c>
      <c r="C12">
        <v>792.89708871550454</v>
      </c>
      <c r="D12">
        <v>452.44838450602043</v>
      </c>
    </row>
    <row r="13" spans="1:4" x14ac:dyDescent="0.2">
      <c r="A13">
        <v>4</v>
      </c>
      <c r="B13">
        <v>0</v>
      </c>
      <c r="C13">
        <v>1068.6873804426366</v>
      </c>
      <c r="D13">
        <v>720.73306636128723</v>
      </c>
    </row>
    <row r="15" spans="1:4" x14ac:dyDescent="0.2">
      <c r="A15" t="s">
        <v>44</v>
      </c>
      <c r="B15" t="s">
        <v>42</v>
      </c>
      <c r="C15" t="s">
        <v>43</v>
      </c>
      <c r="D15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4794-4739-471C-8187-5C37806194C4}">
  <dimension ref="D4:H9"/>
  <sheetViews>
    <sheetView zoomScale="125" workbookViewId="0">
      <selection activeCell="E26" sqref="E26"/>
    </sheetView>
  </sheetViews>
  <sheetFormatPr baseColWidth="10" defaultColWidth="8.83203125" defaultRowHeight="15" x14ac:dyDescent="0.2"/>
  <sheetData>
    <row r="4" spans="4:8" x14ac:dyDescent="0.2">
      <c r="D4" t="s">
        <v>35</v>
      </c>
      <c r="E4" t="s">
        <v>36</v>
      </c>
      <c r="G4" t="s">
        <v>38</v>
      </c>
    </row>
    <row r="5" spans="4:8" x14ac:dyDescent="0.2">
      <c r="D5">
        <v>10</v>
      </c>
      <c r="E5">
        <v>0.99965000000000004</v>
      </c>
      <c r="G5">
        <f xml:space="preserve"> -0.0002*D5 + 1.0019</f>
        <v>0.99990000000000001</v>
      </c>
      <c r="H5" t="s">
        <v>37</v>
      </c>
    </row>
    <row r="6" spans="4:8" x14ac:dyDescent="0.2">
      <c r="D6">
        <v>15</v>
      </c>
      <c r="E6">
        <v>0.99905999999999995</v>
      </c>
      <c r="G6">
        <f t="shared" ref="G6:G9" si="0" xml:space="preserve"> -0.0002*D6 + 1.0019</f>
        <v>0.99890000000000001</v>
      </c>
    </row>
    <row r="7" spans="4:8" x14ac:dyDescent="0.2">
      <c r="D7">
        <v>20</v>
      </c>
      <c r="E7">
        <v>0.99819000000000002</v>
      </c>
      <c r="G7">
        <f t="shared" si="0"/>
        <v>0.99790000000000001</v>
      </c>
    </row>
    <row r="8" spans="4:8" x14ac:dyDescent="0.2">
      <c r="D8">
        <v>25</v>
      </c>
      <c r="E8">
        <v>0.99704999999999999</v>
      </c>
      <c r="G8">
        <f t="shared" si="0"/>
        <v>0.99690000000000001</v>
      </c>
    </row>
    <row r="9" spans="4:8" x14ac:dyDescent="0.2">
      <c r="D9">
        <v>30</v>
      </c>
      <c r="E9">
        <v>0.99567000000000005</v>
      </c>
      <c r="G9">
        <f t="shared" si="0"/>
        <v>0.99590000000000001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fluxVsPressure</vt:lpstr>
      <vt:lpstr>fluxVsPDiff</vt:lpstr>
      <vt:lpstr>cVsCDrop</vt:lpstr>
      <vt:lpstr>PDiffWithOsmoticPressureDiff</vt:lpstr>
      <vt:lpstr>water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Ogden, Gregory E - (gogden)</dc:creator>
  <cp:lastModifiedBy>George, Steven E - (stevengeorge)</cp:lastModifiedBy>
  <cp:lastPrinted>2025-03-19T18:14:34Z</cp:lastPrinted>
  <dcterms:created xsi:type="dcterms:W3CDTF">2024-02-29T17:58:13Z</dcterms:created>
  <dcterms:modified xsi:type="dcterms:W3CDTF">2025-03-27T01:43:57Z</dcterms:modified>
</cp:coreProperties>
</file>