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FinalResultsGraphing/"/>
    </mc:Choice>
  </mc:AlternateContent>
  <xr:revisionPtr revIDLastSave="0" documentId="13_ncr:1_{DEAF324F-73B8-5E4B-A40C-3FE40287730A}" xr6:coauthVersionLast="47" xr6:coauthVersionMax="47" xr10:uidLastSave="{00000000-0000-0000-0000-000000000000}"/>
  <bookViews>
    <workbookView xWindow="0" yWindow="700" windowWidth="34560" windowHeight="19480" activeTab="3" xr2:uid="{81BDDA59-F480-4C30-8BBC-AD1E6993C18D}"/>
  </bookViews>
  <sheets>
    <sheet name="Sheet1" sheetId="1" r:id="rId1"/>
    <sheet name="fluxVsPressure" sheetId="3" r:id="rId2"/>
    <sheet name="fluxVsPDiff" sheetId="4" r:id="rId3"/>
    <sheet name="cVsCDrop" sheetId="5" r:id="rId4"/>
    <sheet name="water densit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 a="1"/>
  <c r="C1" i="5" s="1"/>
  <c r="B1" i="5" a="1"/>
  <c r="B1" i="5" s="1"/>
  <c r="J1" i="4" a="1"/>
  <c r="J1" i="4" s="1"/>
  <c r="I3" i="4"/>
  <c r="I4" i="4"/>
  <c r="I5" i="4"/>
  <c r="I6" i="4"/>
  <c r="I7" i="4"/>
  <c r="I8" i="4"/>
  <c r="I9" i="4"/>
  <c r="I10" i="4"/>
  <c r="I11" i="4"/>
  <c r="I12" i="4"/>
  <c r="I13" i="4"/>
  <c r="I2" i="4"/>
  <c r="H3" i="4"/>
  <c r="H4" i="4"/>
  <c r="H5" i="4"/>
  <c r="H6" i="4"/>
  <c r="H7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E3" i="4"/>
  <c r="E4" i="4"/>
  <c r="E5" i="4"/>
  <c r="E6" i="4"/>
  <c r="E7" i="4"/>
  <c r="E8" i="4"/>
  <c r="E9" i="4"/>
  <c r="E10" i="4"/>
  <c r="E11" i="4"/>
  <c r="E12" i="4"/>
  <c r="E13" i="4"/>
  <c r="E2" i="4"/>
  <c r="F1" i="4" a="1"/>
  <c r="F1" i="4" s="1"/>
  <c r="D1" i="4" a="1"/>
  <c r="D1" i="4" s="1"/>
  <c r="B1" i="4" a="1"/>
  <c r="C13" i="4" s="1"/>
  <c r="D1" i="3" a="1"/>
  <c r="D1" i="3" s="1"/>
  <c r="B1" i="3" a="1"/>
  <c r="B1" i="3" s="1"/>
  <c r="D28" i="1"/>
  <c r="F28" i="1"/>
  <c r="C29" i="1"/>
  <c r="C28" i="1"/>
  <c r="C26" i="1"/>
  <c r="J22" i="1"/>
  <c r="K22" i="1"/>
  <c r="L22" i="1"/>
  <c r="M22" i="1"/>
  <c r="N22" i="1"/>
  <c r="I22" i="1"/>
  <c r="D22" i="1"/>
  <c r="E22" i="1"/>
  <c r="F22" i="1"/>
  <c r="G22" i="1"/>
  <c r="H22" i="1"/>
  <c r="C22" i="1"/>
  <c r="D16" i="1"/>
  <c r="E16" i="1"/>
  <c r="F16" i="1"/>
  <c r="G16" i="1"/>
  <c r="H16" i="1"/>
  <c r="I16" i="1"/>
  <c r="J16" i="1"/>
  <c r="K16" i="1"/>
  <c r="L16" i="1"/>
  <c r="M16" i="1"/>
  <c r="N16" i="1"/>
  <c r="C16" i="1"/>
  <c r="C21" i="1"/>
  <c r="J20" i="1"/>
  <c r="K20" i="1"/>
  <c r="L20" i="1"/>
  <c r="M20" i="1"/>
  <c r="N20" i="1"/>
  <c r="I20" i="1"/>
  <c r="F20" i="1"/>
  <c r="D20" i="1"/>
  <c r="E20" i="1"/>
  <c r="G20" i="1"/>
  <c r="H20" i="1"/>
  <c r="C20" i="1"/>
  <c r="J21" i="1"/>
  <c r="K21" i="1"/>
  <c r="L21" i="1"/>
  <c r="M21" i="1"/>
  <c r="N21" i="1"/>
  <c r="I21" i="1"/>
  <c r="D21" i="1"/>
  <c r="E21" i="1"/>
  <c r="F21" i="1"/>
  <c r="G21" i="1"/>
  <c r="H21" i="1"/>
  <c r="C4" i="4" l="1"/>
  <c r="C5" i="4"/>
  <c r="C6" i="4"/>
  <c r="C8" i="4"/>
  <c r="C10" i="4"/>
  <c r="B1" i="4"/>
  <c r="C11" i="4"/>
  <c r="C2" i="4"/>
  <c r="C12" i="4"/>
  <c r="C7" i="4"/>
  <c r="C9" i="4"/>
  <c r="C3" i="4"/>
  <c r="E10" i="3"/>
  <c r="C12" i="3"/>
  <c r="E9" i="3"/>
  <c r="C11" i="3"/>
  <c r="E8" i="3"/>
  <c r="C10" i="3"/>
  <c r="E7" i="3"/>
  <c r="C9" i="3"/>
  <c r="C8" i="3"/>
  <c r="E6" i="3"/>
  <c r="C2" i="3"/>
  <c r="E5" i="3"/>
  <c r="C7" i="3"/>
  <c r="E2" i="3"/>
  <c r="E4" i="3"/>
  <c r="C6" i="3"/>
  <c r="E13" i="3"/>
  <c r="E3" i="3"/>
  <c r="C5" i="3"/>
  <c r="E12" i="3"/>
  <c r="C4" i="3"/>
  <c r="E11" i="3"/>
  <c r="C13" i="3"/>
  <c r="C3" i="3"/>
  <c r="C23" i="1"/>
  <c r="K23" i="1"/>
  <c r="D25" i="1"/>
  <c r="E25" i="1"/>
  <c r="F25" i="1"/>
  <c r="G25" i="1"/>
  <c r="H25" i="1"/>
  <c r="I25" i="1"/>
  <c r="J25" i="1"/>
  <c r="K25" i="1"/>
  <c r="L25" i="1"/>
  <c r="M25" i="1"/>
  <c r="N25" i="1"/>
  <c r="C25" i="1"/>
  <c r="D30" i="1"/>
  <c r="E30" i="1"/>
  <c r="F30" i="1"/>
  <c r="G30" i="1"/>
  <c r="H30" i="1"/>
  <c r="I30" i="1"/>
  <c r="J30" i="1"/>
  <c r="K30" i="1"/>
  <c r="L30" i="1"/>
  <c r="M30" i="1"/>
  <c r="N30" i="1"/>
  <c r="C30" i="1"/>
  <c r="D24" i="1"/>
  <c r="J26" i="1"/>
  <c r="K26" i="1"/>
  <c r="L26" i="1"/>
  <c r="M23" i="1"/>
  <c r="N26" i="1"/>
  <c r="N27" i="1" s="1"/>
  <c r="I26" i="1"/>
  <c r="M24" i="1"/>
  <c r="I24" i="1"/>
  <c r="E24" i="1"/>
  <c r="F24" i="1"/>
  <c r="G24" i="1"/>
  <c r="H24" i="1"/>
  <c r="C24" i="1"/>
  <c r="D31" i="1"/>
  <c r="E31" i="1"/>
  <c r="F26" i="1"/>
  <c r="G23" i="1"/>
  <c r="H26" i="1"/>
  <c r="G6" i="2"/>
  <c r="G7" i="2"/>
  <c r="G8" i="2"/>
  <c r="G9" i="2"/>
  <c r="G5" i="2"/>
  <c r="N23" i="1" l="1"/>
  <c r="J23" i="1"/>
  <c r="M26" i="1"/>
  <c r="M27" i="1" s="1"/>
  <c r="I23" i="1"/>
  <c r="K29" i="1"/>
  <c r="N29" i="1"/>
  <c r="J29" i="1"/>
  <c r="L27" i="1"/>
  <c r="L29" i="1"/>
  <c r="K27" i="1"/>
  <c r="J27" i="1"/>
  <c r="I27" i="1"/>
  <c r="I29" i="1"/>
  <c r="M31" i="1"/>
  <c r="L24" i="1"/>
  <c r="K31" i="1"/>
  <c r="K24" i="1"/>
  <c r="N31" i="1"/>
  <c r="J24" i="1"/>
  <c r="I31" i="1"/>
  <c r="N24" i="1"/>
  <c r="L31" i="1"/>
  <c r="J31" i="1"/>
  <c r="L23" i="1"/>
  <c r="D26" i="1"/>
  <c r="D27" i="1" s="1"/>
  <c r="E26" i="1"/>
  <c r="E27" i="1" s="1"/>
  <c r="F27" i="1"/>
  <c r="H27" i="1"/>
  <c r="H23" i="1"/>
  <c r="F29" i="1"/>
  <c r="H29" i="1"/>
  <c r="G31" i="1"/>
  <c r="F31" i="1"/>
  <c r="E23" i="1"/>
  <c r="G26" i="1"/>
  <c r="H31" i="1"/>
  <c r="F23" i="1"/>
  <c r="D23" i="1"/>
  <c r="C31" i="1"/>
  <c r="M28" i="1" l="1"/>
  <c r="N28" i="1"/>
  <c r="I28" i="1"/>
  <c r="J28" i="1"/>
  <c r="K28" i="1"/>
  <c r="E29" i="1"/>
  <c r="D29" i="1"/>
  <c r="E28" i="1"/>
  <c r="M29" i="1"/>
  <c r="L28" i="1"/>
  <c r="H28" i="1"/>
  <c r="G29" i="1"/>
  <c r="G27" i="1"/>
  <c r="G28" i="1" s="1"/>
  <c r="C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<sst xmlns="http://schemas.openxmlformats.org/spreadsheetml/2006/main" count="63" uniqueCount="48">
  <si>
    <t>Week 1</t>
  </si>
  <si>
    <t>Week 2</t>
  </si>
  <si>
    <t>Run 1</t>
  </si>
  <si>
    <t xml:space="preserve">Run 2 </t>
  </si>
  <si>
    <t>Run3</t>
  </si>
  <si>
    <t>Permeate salt concentration, g/l</t>
  </si>
  <si>
    <t>Feed salt concentration, g/l</t>
  </si>
  <si>
    <t>Permeate density, g/ml</t>
  </si>
  <si>
    <t>Permeate flow, ml/min</t>
  </si>
  <si>
    <r>
      <t>Water Flux corrected to 25°C J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, mol/m^2-hr</t>
    </r>
  </si>
  <si>
    <r>
      <t>Salt Flux corrected to 25°C J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, mol/m^2-hr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</si>
  <si>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w ,  </t>
    </r>
    <r>
      <rPr>
        <sz val="11"/>
        <color theme="1"/>
        <rFont val="Calibri"/>
        <family val="2"/>
        <scheme val="minor"/>
      </rPr>
      <t>mol/m^2-hr-atm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</si>
  <si>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 </t>
    </r>
    <r>
      <rPr>
        <sz val="11"/>
        <color theme="1"/>
        <rFont val="Calibri"/>
        <family val="2"/>
        <scheme val="minor"/>
      </rPr>
      <t xml:space="preserve"> L/m^2-hr</t>
    </r>
  </si>
  <si>
    <r>
      <t>Instanteous Salt Rejection Coefficient,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as a decimal</t>
    </r>
  </si>
  <si>
    <t>Flux TCF</t>
  </si>
  <si>
    <t>Transmembrane Pressure drop, psi</t>
  </si>
  <si>
    <t>Inputs</t>
  </si>
  <si>
    <t>Av temp of Feed, °C</t>
  </si>
  <si>
    <t>Av temp of permeate, °C</t>
  </si>
  <si>
    <t>calculations assume density doesn't change when salt is added (vol does)</t>
  </si>
  <si>
    <r>
      <rPr>
        <b/>
        <sz val="11"/>
        <color theme="1"/>
        <rFont val="Calibri"/>
        <family val="2"/>
        <scheme val="minor"/>
      </rPr>
      <t>Permeate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p</t>
    </r>
    <r>
      <rPr>
        <sz val="11"/>
        <color theme="1"/>
        <rFont val="Calibri"/>
        <family val="2"/>
        <scheme val="minor"/>
      </rPr>
      <t xml:space="preserve"> (atm)</t>
    </r>
  </si>
  <si>
    <r>
      <rPr>
        <b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Osmotic pressure, </t>
    </r>
    <r>
      <rPr>
        <sz val="11"/>
        <color theme="1"/>
        <rFont val="Symbol"/>
        <family val="1"/>
        <charset val="2"/>
      </rPr>
      <t>p</t>
    </r>
    <r>
      <rPr>
        <vertAlign val="subscript"/>
        <sz val="11"/>
        <color theme="1"/>
        <rFont val="Calibri Light"/>
        <family val="2"/>
        <scheme val="major"/>
      </rPr>
      <t>f</t>
    </r>
    <r>
      <rPr>
        <sz val="11"/>
        <color theme="1"/>
        <rFont val="Calibri"/>
        <family val="2"/>
        <scheme val="minor"/>
      </rPr>
      <t xml:space="preserve"> (atm)</t>
    </r>
  </si>
  <si>
    <r>
      <t xml:space="preserve">Salt concentration Gradient,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Cs, mol/L</t>
    </r>
  </si>
  <si>
    <t>For Concentrated Solutions</t>
  </si>
  <si>
    <t>"Mc"</t>
  </si>
  <si>
    <t>"Bc"</t>
  </si>
  <si>
    <t>For Dilute Solutions</t>
  </si>
  <si>
    <t>"Md"</t>
  </si>
  <si>
    <t>"Bd"</t>
  </si>
  <si>
    <r>
      <t xml:space="preserve">EC units are  </t>
    </r>
    <r>
      <rPr>
        <b/>
        <sz val="11"/>
        <color theme="1"/>
        <rFont val="Calibri"/>
        <family val="2"/>
        <scheme val="minor"/>
      </rPr>
      <t>Micro Siemen</t>
    </r>
    <r>
      <rPr>
        <sz val="11"/>
        <color theme="1"/>
        <rFont val="Calibri"/>
        <family val="2"/>
        <scheme val="min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</si>
  <si>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Permeate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</si>
  <si>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r>
      <t xml:space="preserve">Average </t>
    </r>
    <r>
      <rPr>
        <b/>
        <sz val="11"/>
        <color theme="1"/>
        <rFont val="Calibri Light"/>
        <family val="2"/>
        <scheme val="major"/>
      </rPr>
      <t>Feed</t>
    </r>
    <r>
      <rPr>
        <sz val="11"/>
        <color theme="1"/>
        <rFont val="Calibri Light"/>
        <family val="2"/>
        <scheme val="major"/>
      </rPr>
      <t xml:space="preserve"> Salt Conductivity,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 Light"/>
        <family val="2"/>
        <scheme val="major"/>
      </rPr>
      <t>S</t>
    </r>
  </si>
  <si>
    <t>1g/L Feed Solution</t>
  </si>
  <si>
    <t>5g/L Feed Solution</t>
  </si>
  <si>
    <t xml:space="preserve">% Recovery </t>
  </si>
  <si>
    <t>T</t>
  </si>
  <si>
    <t>density g/ml</t>
  </si>
  <si>
    <t>eqcn</t>
  </si>
  <si>
    <t>eqn</t>
  </si>
  <si>
    <r>
      <t xml:space="preserve">EC in </t>
    </r>
    <r>
      <rPr>
        <sz val="11"/>
        <color theme="1"/>
        <rFont val="Calibri Light"/>
        <family val="2"/>
        <scheme val="major"/>
      </rPr>
      <t>m</t>
    </r>
    <r>
      <rPr>
        <sz val="11"/>
        <color theme="1"/>
        <rFont val="Calibri"/>
        <family val="2"/>
        <scheme val="minor"/>
      </rPr>
      <t>S vs. [salt] equation parameters ([salt, g/l] = M*EC +B)</t>
    </r>
  </si>
  <si>
    <r>
      <t xml:space="preserve">Please put your Raw and Calculated Data in this table. </t>
    </r>
    <r>
      <rPr>
        <b/>
        <sz val="11"/>
        <color theme="1"/>
        <rFont val="Calibri"/>
        <family val="2"/>
        <scheme val="minor"/>
      </rPr>
      <t>NOTE UNITS</t>
    </r>
  </si>
  <si>
    <t>Calculated Values</t>
  </si>
  <si>
    <t>Water Flux corrected to 25°C Jw, L/m^2-hr</t>
  </si>
  <si>
    <t>Transmembrane Pressure drop, kPa</t>
  </si>
  <si>
    <t>Run</t>
  </si>
  <si>
    <t>Feed Osmotic pressure, pf (kPa)</t>
  </si>
  <si>
    <t>Osmotic Pressure Difference (kPa)</t>
  </si>
  <si>
    <t>Delta P - Delta Pi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</si>
</sst>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/>
    <xf numFmtId="0" fontId="0" fillId="2" borderId="2" xfId="0" applyFill="1" applyBorder="1" applyAlignment="1">
      <alignment vertical="center"/>
    </xf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5" fontId="9" fillId="4" borderId="3" xfId="0" applyNumberFormat="1" applyFont="1" applyFill="1" applyBorder="1" applyAlignment="1">
      <alignment horizontal="center" wrapText="1"/>
    </xf>
    <xf numFmtId="165" fontId="9" fillId="4" borderId="4" xfId="0" applyNumberFormat="1" applyFont="1" applyFill="1" applyBorder="1" applyAlignment="1">
      <alignment horizontal="center" wrapText="1"/>
    </xf>
    <xf numFmtId="165" fontId="9" fillId="4" borderId="5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density'!$E$4</c:f>
              <c:strCache>
                <c:ptCount val="1"/>
                <c:pt idx="0">
                  <c:v>density g/ml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379724409448821"/>
                  <c:y val="-8.79042723826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'water density'!$D$5:$D$9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'water density'!$E$5:$E$9</c:f>
              <c:numCache>
                <c:formatCode>General</c:formatCode>
                <c:ptCount val="5"/>
                <c:pt idx="0">
                  <c:v>0.99965000000000004</c:v>
                </c:pt>
                <c:pt idx="1">
                  <c:v>0.99905999999999995</c:v>
                </c:pt>
                <c:pt idx="2">
                  <c:v>0.99819000000000002</c:v>
                </c:pt>
                <c:pt idx="3">
                  <c:v>0.99704999999999999</c:v>
                </c:pt>
                <c:pt idx="4">
                  <c:v>0.99567000000000005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4A-A4C0-A7DBF3FC4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61199"/>
        <c:axId val="447418383"/>
      </c:scatterChart>
      <c:valAx>
        <c:axId val="1621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418383"/>
        <c:crosses val="autoZero"/>
        <c:crossBetween val="midCat"/>
      </c:valAx>
      <c:valAx>
        <c:axId val="44741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6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130534</xdr:colOff>
      <xdr:row>1</xdr:row>
      <xdr:rowOff>81207</xdr:rowOff>
    </xdr:from>
    <xdr:to>
      <xdr:col>20</xdr:col>
      <xdr:colOff>533539</xdr:colOff>
      <xdr:row>20</xdr:row>
      <xdr:rowOff>140278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74D869-8018-D166-9714-D8C0F8251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6279" y="261316"/>
          <a:ext cx="3381733" cy="3564271"/>
        </a:xfrm>
        <a:prstGeom prst="rect">
          <a:avLst/>
        </a:prstGeom>
      </xdr:spPr>
    </xdr:pic>
    <xdr:clientData/>
  </xdr:twoCellAnchor>
  <xdr:twoCellAnchor editAs="oneCell">
    <xdr:from>
      <xdr:col>20</xdr:col>
      <xdr:colOff>49049</xdr:colOff>
      <xdr:row>1</xdr:row>
      <xdr:rowOff>95689</xdr:rowOff>
    </xdr:from>
    <xdr:to>
      <xdr:col>24</xdr:col>
      <xdr:colOff>408961</xdr:colOff>
      <xdr:row>17</xdr:row>
      <xdr:rowOff>13854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93429FD-B2C5-9836-6094-8256D8A19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53522" y="275798"/>
          <a:ext cx="2742894" cy="2883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41910</xdr:rowOff>
    </xdr:from>
    <xdr:to>
      <xdr:col>15</xdr:col>
      <xdr:colOff>228600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22241-8A2A-9356-3658-9618BFED2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8900-F8FE-494C-A82D-A0F58AF8A95B}">
  <dimension ref="A2:AC36"/>
  <sheetViews>
    <sheetView topLeftCell="A8" zoomScale="150" zoomScaleNormal="150" workbookViewId="0">
      <selection activeCell="D36" sqref="D36"/>
    </sheetView>
  </sheetViews>
  <sheetFormatPr baseColWidth="10" defaultColWidth="8.83203125" defaultRowHeight="15" x14ac:dyDescent="0.2"/>
  <cols>
    <col min="1" max="1" width="10" customWidth="1"/>
    <col min="2" max="2" width="52.33203125" bestFit="1" customWidth="1"/>
    <col min="3" max="14" width="8.83203125" customWidth="1"/>
  </cols>
  <sheetData>
    <row r="2" spans="1:29" x14ac:dyDescent="0.2">
      <c r="B2" t="s">
        <v>40</v>
      </c>
    </row>
    <row r="3" spans="1:29" x14ac:dyDescent="0.2">
      <c r="C3" s="19" t="s">
        <v>0</v>
      </c>
      <c r="D3" s="19"/>
      <c r="E3" s="19"/>
      <c r="F3" s="19"/>
      <c r="G3" s="19"/>
      <c r="H3" s="19"/>
      <c r="I3" s="19" t="s">
        <v>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9" x14ac:dyDescent="0.2"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L4" t="s">
        <v>2</v>
      </c>
      <c r="M4" t="s">
        <v>3</v>
      </c>
      <c r="N4" t="s">
        <v>4</v>
      </c>
    </row>
    <row r="5" spans="1:29" x14ac:dyDescent="0.2">
      <c r="A5" t="s">
        <v>16</v>
      </c>
      <c r="B5" s="2"/>
      <c r="C5" s="20" t="s">
        <v>32</v>
      </c>
      <c r="D5" s="20"/>
      <c r="E5" s="20"/>
      <c r="F5" s="20" t="s">
        <v>33</v>
      </c>
      <c r="G5" s="20"/>
      <c r="H5" s="20"/>
      <c r="I5" s="20" t="s">
        <v>32</v>
      </c>
      <c r="J5" s="20"/>
      <c r="K5" s="20"/>
      <c r="L5" s="20" t="s">
        <v>33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9" x14ac:dyDescent="0.2">
      <c r="B6" s="2" t="s">
        <v>39</v>
      </c>
    </row>
    <row r="7" spans="1:29" ht="16" thickBot="1" x14ac:dyDescent="0.25">
      <c r="B7" s="2" t="s">
        <v>23</v>
      </c>
    </row>
    <row r="8" spans="1:29" ht="16" thickBot="1" x14ac:dyDescent="0.25">
      <c r="B8" s="3" t="s">
        <v>24</v>
      </c>
      <c r="C8" s="21">
        <v>0.54369999999999996</v>
      </c>
      <c r="D8" s="22"/>
      <c r="E8" s="23"/>
      <c r="F8" s="21">
        <v>0.54369999999999996</v>
      </c>
      <c r="G8" s="22"/>
      <c r="H8" s="23"/>
      <c r="I8" s="24">
        <v>0.50939999999999996</v>
      </c>
      <c r="J8" s="25"/>
      <c r="K8" s="26"/>
      <c r="L8" s="24">
        <v>0.50939999999999996</v>
      </c>
      <c r="M8" s="25"/>
      <c r="N8" s="26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4"/>
      <c r="AB8" s="4"/>
      <c r="AC8" s="4"/>
    </row>
    <row r="9" spans="1:29" ht="16" thickBot="1" x14ac:dyDescent="0.25">
      <c r="B9" s="3" t="s">
        <v>25</v>
      </c>
      <c r="C9" s="21">
        <v>0</v>
      </c>
      <c r="D9" s="22"/>
      <c r="E9" s="23"/>
      <c r="F9" s="21">
        <v>0</v>
      </c>
      <c r="G9" s="22"/>
      <c r="H9" s="23"/>
      <c r="I9" s="24">
        <v>0</v>
      </c>
      <c r="J9" s="25"/>
      <c r="K9" s="26"/>
      <c r="L9" s="24">
        <v>0</v>
      </c>
      <c r="M9" s="25"/>
      <c r="N9" s="26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4"/>
      <c r="AB9" s="4"/>
      <c r="AC9" s="4"/>
    </row>
    <row r="10" spans="1:29" ht="16" thickBot="1" x14ac:dyDescent="0.25"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9" ht="16" thickBot="1" x14ac:dyDescent="0.25">
      <c r="B11" s="3" t="s">
        <v>27</v>
      </c>
      <c r="C11" s="21">
        <v>0.51249999999999996</v>
      </c>
      <c r="D11" s="22"/>
      <c r="E11" s="23"/>
      <c r="F11" s="21">
        <v>0.51249999999999996</v>
      </c>
      <c r="G11" s="22"/>
      <c r="H11" s="23"/>
      <c r="I11" s="24">
        <v>0.44829999999999998</v>
      </c>
      <c r="J11" s="25"/>
      <c r="K11" s="26"/>
      <c r="L11" s="24">
        <v>0.44829999999999998</v>
      </c>
      <c r="M11" s="25"/>
      <c r="N11" s="2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4"/>
      <c r="AB11" s="4"/>
      <c r="AC11" s="4"/>
    </row>
    <row r="12" spans="1:29" ht="16" thickBot="1" x14ac:dyDescent="0.25">
      <c r="B12" s="3" t="s">
        <v>28</v>
      </c>
      <c r="C12" s="21">
        <v>0</v>
      </c>
      <c r="D12" s="22"/>
      <c r="E12" s="23"/>
      <c r="F12" s="21">
        <v>0</v>
      </c>
      <c r="G12" s="22"/>
      <c r="H12" s="23"/>
      <c r="I12" s="24">
        <v>0</v>
      </c>
      <c r="J12" s="25"/>
      <c r="K12" s="26"/>
      <c r="L12" s="24">
        <v>0</v>
      </c>
      <c r="M12" s="25"/>
      <c r="N12" s="2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4"/>
      <c r="AB12" s="4"/>
      <c r="AC12" s="4"/>
    </row>
    <row r="13" spans="1:29" x14ac:dyDescent="0.2">
      <c r="B13" s="6" t="s">
        <v>15</v>
      </c>
      <c r="C13" s="6">
        <v>75</v>
      </c>
      <c r="D13" s="6">
        <v>115</v>
      </c>
      <c r="E13" s="6">
        <v>155</v>
      </c>
      <c r="F13" s="6">
        <v>75</v>
      </c>
      <c r="G13" s="6">
        <v>115</v>
      </c>
      <c r="H13" s="6">
        <v>155</v>
      </c>
      <c r="I13" s="6">
        <v>75</v>
      </c>
      <c r="J13" s="6">
        <v>115</v>
      </c>
      <c r="K13" s="6">
        <v>155</v>
      </c>
      <c r="L13" s="6">
        <v>75</v>
      </c>
      <c r="M13" s="6">
        <v>115</v>
      </c>
      <c r="N13" s="6">
        <v>155</v>
      </c>
    </row>
    <row r="14" spans="1:29" x14ac:dyDescent="0.2">
      <c r="B14" s="7" t="s">
        <v>30</v>
      </c>
      <c r="C14" s="7">
        <v>102.25</v>
      </c>
      <c r="D14" s="7">
        <v>89.95</v>
      </c>
      <c r="E14" s="7">
        <v>71.849999999999994</v>
      </c>
      <c r="F14" s="7">
        <v>1049.5</v>
      </c>
      <c r="G14" s="7">
        <v>803</v>
      </c>
      <c r="H14" s="7">
        <v>570.5</v>
      </c>
      <c r="I14" s="7">
        <v>144.13300000000001</v>
      </c>
      <c r="J14" s="7">
        <v>126</v>
      </c>
      <c r="K14" s="7">
        <v>107.533</v>
      </c>
      <c r="L14" s="7">
        <v>868.2</v>
      </c>
      <c r="M14" s="7">
        <v>618.36699999999996</v>
      </c>
      <c r="N14" s="12">
        <v>451.3</v>
      </c>
    </row>
    <row r="15" spans="1:29" x14ac:dyDescent="0.2">
      <c r="B15" s="8" t="s">
        <v>31</v>
      </c>
      <c r="C15" s="8">
        <v>2030</v>
      </c>
      <c r="D15" s="8">
        <v>2045</v>
      </c>
      <c r="E15" s="8">
        <v>2065</v>
      </c>
      <c r="F15" s="8">
        <v>9300</v>
      </c>
      <c r="G15" s="8">
        <v>9300</v>
      </c>
      <c r="H15" s="8">
        <v>9300</v>
      </c>
      <c r="I15" s="8">
        <v>2100</v>
      </c>
      <c r="J15" s="8">
        <v>2125</v>
      </c>
      <c r="K15" s="8">
        <v>2130</v>
      </c>
      <c r="L15" s="8">
        <v>9313.3330000000005</v>
      </c>
      <c r="M15" s="8">
        <v>9350</v>
      </c>
      <c r="N15" s="13">
        <v>9385</v>
      </c>
    </row>
    <row r="16" spans="1:29" x14ac:dyDescent="0.2">
      <c r="B16" s="9" t="s">
        <v>7</v>
      </c>
      <c r="C16" s="9">
        <f>C20/1000+1</f>
        <v>1.000052403125</v>
      </c>
      <c r="D16" s="9">
        <f t="shared" ref="D16:N16" si="0">D20/1000+1</f>
        <v>1.000046099375</v>
      </c>
      <c r="E16" s="9">
        <f t="shared" si="0"/>
        <v>1.0000368231250001</v>
      </c>
      <c r="F16" s="9">
        <f t="shared" si="0"/>
        <v>1.0005378687499999</v>
      </c>
      <c r="G16" s="9">
        <f t="shared" si="0"/>
        <v>1.0004115375</v>
      </c>
      <c r="H16" s="9">
        <f t="shared" si="0"/>
        <v>1.00029238125</v>
      </c>
      <c r="I16" s="9">
        <f t="shared" si="0"/>
        <v>1.0000646148239001</v>
      </c>
      <c r="J16" s="9">
        <f t="shared" si="0"/>
        <v>1.0000564858000001</v>
      </c>
      <c r="K16" s="9">
        <f t="shared" si="0"/>
        <v>1.0000482070439001</v>
      </c>
      <c r="L16" s="9">
        <f t="shared" si="0"/>
        <v>1.0003892140599999</v>
      </c>
      <c r="M16" s="9">
        <f t="shared" si="0"/>
        <v>1.0002772139261</v>
      </c>
      <c r="N16" s="9">
        <f t="shared" si="0"/>
        <v>1.0002023177899999</v>
      </c>
    </row>
    <row r="17" spans="1:27" x14ac:dyDescent="0.2">
      <c r="B17" s="9" t="s">
        <v>8</v>
      </c>
      <c r="C17" s="9">
        <v>8.1928000000000001</v>
      </c>
      <c r="D17" s="9">
        <v>12.7666</v>
      </c>
      <c r="E17" s="9">
        <v>16.981100000000001</v>
      </c>
      <c r="F17" s="9">
        <v>3.0668799999999998</v>
      </c>
      <c r="G17" s="9">
        <v>7.2018399999999998</v>
      </c>
      <c r="H17" s="9">
        <v>11.251799999999999</v>
      </c>
      <c r="I17" s="9">
        <v>8.3422000000000001</v>
      </c>
      <c r="J17" s="9">
        <v>12.722</v>
      </c>
      <c r="K17" s="9">
        <v>16.175899999999999</v>
      </c>
      <c r="L17" s="9">
        <v>3.9595699999999998</v>
      </c>
      <c r="M17" s="9">
        <v>7.4183599999999998</v>
      </c>
      <c r="N17" s="14">
        <v>11.666399999999999</v>
      </c>
    </row>
    <row r="18" spans="1:27" x14ac:dyDescent="0.2">
      <c r="B18" s="9" t="s">
        <v>18</v>
      </c>
      <c r="C18" s="9">
        <v>22.9</v>
      </c>
      <c r="D18" s="9">
        <v>21.95</v>
      </c>
      <c r="E18" s="9">
        <v>21.75</v>
      </c>
      <c r="F18" s="9">
        <v>24.15</v>
      </c>
      <c r="G18" s="9">
        <v>23.1</v>
      </c>
      <c r="H18" s="9">
        <v>22.75</v>
      </c>
      <c r="I18" s="9">
        <v>20.2</v>
      </c>
      <c r="J18" s="9">
        <v>19.600000000000001</v>
      </c>
      <c r="K18" s="9">
        <v>19.133299999999998</v>
      </c>
      <c r="L18" s="9">
        <v>20.666699999999999</v>
      </c>
      <c r="M18" s="9">
        <v>20.533300000000001</v>
      </c>
      <c r="N18" s="14">
        <v>19.866700000000002</v>
      </c>
    </row>
    <row r="19" spans="1:27" x14ac:dyDescent="0.2">
      <c r="B19" s="9" t="s">
        <v>17</v>
      </c>
      <c r="C19" s="9">
        <v>21.75</v>
      </c>
      <c r="D19" s="9">
        <v>20.149999999999999</v>
      </c>
      <c r="E19" s="9">
        <v>20</v>
      </c>
      <c r="F19" s="9">
        <v>23.25</v>
      </c>
      <c r="G19" s="9">
        <v>21.8</v>
      </c>
      <c r="H19" s="9">
        <v>21.35</v>
      </c>
      <c r="I19" s="9">
        <v>19.2667</v>
      </c>
      <c r="J19" s="9">
        <v>18</v>
      </c>
      <c r="K19" s="9">
        <v>17.8</v>
      </c>
      <c r="L19" s="9">
        <v>19.966699999999999</v>
      </c>
      <c r="M19" s="9">
        <v>18.600000000000001</v>
      </c>
      <c r="N19" s="14">
        <v>18.2333</v>
      </c>
    </row>
    <row r="20" spans="1:27" x14ac:dyDescent="0.2">
      <c r="A20" t="s">
        <v>41</v>
      </c>
      <c r="B20" s="10" t="s">
        <v>5</v>
      </c>
      <c r="C20" s="10">
        <f>($C$11*C14/1000)+$C$12</f>
        <v>5.2403124999999995E-2</v>
      </c>
      <c r="D20" s="10">
        <f t="shared" ref="D20:H20" si="1">($C$11*D14/1000)+$C$12</f>
        <v>4.6099374999999998E-2</v>
      </c>
      <c r="E20" s="10">
        <f t="shared" si="1"/>
        <v>3.6823124999999998E-2</v>
      </c>
      <c r="F20" s="10">
        <f>($C$11*F14/1000)+$C$12</f>
        <v>0.53786875000000001</v>
      </c>
      <c r="G20" s="10">
        <f t="shared" si="1"/>
        <v>0.41153749999999995</v>
      </c>
      <c r="H20" s="10">
        <f t="shared" si="1"/>
        <v>0.29238124999999998</v>
      </c>
      <c r="I20" s="10">
        <f>($I$11*I14/1000)-$I$12</f>
        <v>6.4614823900000007E-2</v>
      </c>
      <c r="J20" s="10">
        <f t="shared" ref="J20:N20" si="2">($I$11*J14/1000)-$I$12</f>
        <v>5.6485799999999996E-2</v>
      </c>
      <c r="K20" s="10">
        <f t="shared" si="2"/>
        <v>4.8207043899999996E-2</v>
      </c>
      <c r="L20" s="10">
        <f t="shared" si="2"/>
        <v>0.38921406000000003</v>
      </c>
      <c r="M20" s="10">
        <f t="shared" si="2"/>
        <v>0.27721392610000001</v>
      </c>
      <c r="N20" s="10">
        <f t="shared" si="2"/>
        <v>0.20231779</v>
      </c>
      <c r="AA20" s="5"/>
    </row>
    <row r="21" spans="1:27" x14ac:dyDescent="0.2">
      <c r="B21" s="10" t="s">
        <v>6</v>
      </c>
      <c r="C21" s="10">
        <f>($C$8*C15/1000)-$C$9</f>
        <v>1.1037110000000001</v>
      </c>
      <c r="D21" s="10">
        <f t="shared" ref="D21:H21" si="3">($C$8*D15/1000)-$C$9</f>
        <v>1.1118664999999999</v>
      </c>
      <c r="E21" s="10">
        <f t="shared" si="3"/>
        <v>1.1227404999999999</v>
      </c>
      <c r="F21" s="10">
        <f t="shared" si="3"/>
        <v>5.0564099999999996</v>
      </c>
      <c r="G21" s="10">
        <f t="shared" si="3"/>
        <v>5.0564099999999996</v>
      </c>
      <c r="H21" s="10">
        <f t="shared" si="3"/>
        <v>5.0564099999999996</v>
      </c>
      <c r="I21" s="10">
        <f>($I$8*I15/1000)-$I$9</f>
        <v>1.0697399999999999</v>
      </c>
      <c r="J21" s="10">
        <f t="shared" ref="J21:N21" si="4">($I$8*J15/1000)-$I$9</f>
        <v>1.0824749999999999</v>
      </c>
      <c r="K21" s="10">
        <f t="shared" si="4"/>
        <v>1.0850219999999999</v>
      </c>
      <c r="L21" s="10">
        <f t="shared" si="4"/>
        <v>4.7442118302000003</v>
      </c>
      <c r="M21" s="10">
        <f t="shared" si="4"/>
        <v>4.7628899999999996</v>
      </c>
      <c r="N21" s="10">
        <f t="shared" si="4"/>
        <v>4.7807190000000004</v>
      </c>
    </row>
    <row r="22" spans="1:27" x14ac:dyDescent="0.2">
      <c r="B22" s="10" t="s">
        <v>22</v>
      </c>
      <c r="C22" s="10">
        <f>(C21-C20)/58.44</f>
        <v>1.7989525581793293E-2</v>
      </c>
      <c r="D22" s="10">
        <f t="shared" ref="D22:H22" si="5">(D21-D20)/58.44</f>
        <v>1.8236946013004789E-2</v>
      </c>
      <c r="E22" s="10">
        <f t="shared" si="5"/>
        <v>1.8581748374401096E-2</v>
      </c>
      <c r="F22" s="10">
        <f t="shared" si="5"/>
        <v>7.731932323750855E-2</v>
      </c>
      <c r="G22" s="10">
        <f t="shared" si="5"/>
        <v>7.9481048939082824E-2</v>
      </c>
      <c r="H22" s="10">
        <f t="shared" si="5"/>
        <v>8.1519999144421623E-2</v>
      </c>
      <c r="I22" s="10">
        <f>(I21-I20)/95.211</f>
        <v>1.0556817763703773E-2</v>
      </c>
      <c r="J22" s="10">
        <f t="shared" ref="J22:N22" si="6">(J21-J20)/95.211</f>
        <v>1.0775952358445978E-2</v>
      </c>
      <c r="K22" s="10">
        <f t="shared" si="6"/>
        <v>1.0889655145939019E-2</v>
      </c>
      <c r="L22" s="10">
        <f t="shared" si="6"/>
        <v>4.5740489756435715E-2</v>
      </c>
      <c r="M22" s="10">
        <f t="shared" si="6"/>
        <v>4.7113002425139952E-2</v>
      </c>
      <c r="N22" s="10">
        <f t="shared" si="6"/>
        <v>4.808689342617975E-2</v>
      </c>
    </row>
    <row r="23" spans="1:27" ht="17" x14ac:dyDescent="0.2">
      <c r="B23" s="10" t="s">
        <v>20</v>
      </c>
      <c r="C23" s="10">
        <f>(2*C20*0.0821*(C18+273.15))/58.44</f>
        <v>4.3589832215199346E-2</v>
      </c>
      <c r="D23" s="10">
        <f t="shared" ref="D23:H24" si="7">2*D20*0.0821*(D18+273.15)/58.44</f>
        <v>3.8223213164998292E-2</v>
      </c>
      <c r="E23" s="10">
        <f t="shared" si="7"/>
        <v>3.0511134773485625E-2</v>
      </c>
      <c r="F23" s="10">
        <f t="shared" si="7"/>
        <v>0.44929767100231</v>
      </c>
      <c r="G23" s="10">
        <f t="shared" si="7"/>
        <v>0.34255532228567753</v>
      </c>
      <c r="H23" s="10">
        <f t="shared" si="7"/>
        <v>0.24308459051805273</v>
      </c>
      <c r="I23" s="10">
        <f>3*I20*0.0821*(I18+273.15)/95.211</f>
        <v>4.9033799046111368E-2</v>
      </c>
      <c r="J23" s="10">
        <f t="shared" ref="J23:N23" si="8">3*J20*0.0821*(J18+273.15)/95.211</f>
        <v>4.2777310196143309E-2</v>
      </c>
      <c r="K23" s="10">
        <f t="shared" si="8"/>
        <v>3.6449517883954279E-2</v>
      </c>
      <c r="L23" s="10">
        <f t="shared" si="8"/>
        <v>0.29583004684437864</v>
      </c>
      <c r="M23" s="10">
        <f t="shared" si="8"/>
        <v>0.21060640769917258</v>
      </c>
      <c r="N23" s="10">
        <f t="shared" si="8"/>
        <v>0.15335704463683825</v>
      </c>
    </row>
    <row r="24" spans="1:27" ht="17" x14ac:dyDescent="0.2">
      <c r="B24" s="10" t="s">
        <v>21</v>
      </c>
      <c r="C24" s="10">
        <f>2*C21*0.0821*(C19+273.15)/58.44</f>
        <v>0.91451975007494879</v>
      </c>
      <c r="D24" s="10">
        <f t="shared" si="7"/>
        <v>0.91627883262645449</v>
      </c>
      <c r="E24" s="10">
        <f t="shared" si="7"/>
        <v>0.92476680694413071</v>
      </c>
      <c r="F24" s="10">
        <f t="shared" si="7"/>
        <v>4.2109824011088293</v>
      </c>
      <c r="G24" s="10">
        <f t="shared" si="7"/>
        <v>4.1903821160831622</v>
      </c>
      <c r="H24" s="10">
        <f t="shared" si="7"/>
        <v>4.1839889241786441</v>
      </c>
      <c r="I24" s="10">
        <f>3*I21*0.0821*(I19+273.15)/95.211</f>
        <v>0.80920338778151046</v>
      </c>
      <c r="J24" s="10">
        <f t="shared" ref="J24:N24" si="9">3*J21*0.0821*(J19+273.15)/95.211</f>
        <v>0.81528969821107855</v>
      </c>
      <c r="K24" s="10">
        <f t="shared" si="9"/>
        <v>0.81664666127516772</v>
      </c>
      <c r="L24" s="10">
        <f t="shared" si="9"/>
        <v>3.5973435883873721</v>
      </c>
      <c r="M24" s="10">
        <f t="shared" si="9"/>
        <v>3.5946673041166464</v>
      </c>
      <c r="N24" s="10">
        <f t="shared" si="9"/>
        <v>3.6035882349453527</v>
      </c>
    </row>
    <row r="25" spans="1:27" x14ac:dyDescent="0.2">
      <c r="B25" s="11" t="s">
        <v>14</v>
      </c>
      <c r="C25" s="11">
        <f>EXP(2996*(1/(C19+273)-1/298))</f>
        <v>1.1172328409769297</v>
      </c>
      <c r="D25" s="11">
        <f t="shared" ref="D25:N25" si="10">EXP(2996*(1/(D19+273)-1/298))</f>
        <v>1.1809658296499161</v>
      </c>
      <c r="E25" s="11">
        <f t="shared" si="10"/>
        <v>1.187160946626882</v>
      </c>
      <c r="F25" s="11">
        <f t="shared" si="10"/>
        <v>1.0611878496767186</v>
      </c>
      <c r="G25" s="11">
        <f t="shared" si="10"/>
        <v>1.1153084207568573</v>
      </c>
      <c r="H25" s="11">
        <f t="shared" si="10"/>
        <v>1.1327721076228772</v>
      </c>
      <c r="I25" s="11">
        <f t="shared" si="10"/>
        <v>1.2180119305827781</v>
      </c>
      <c r="J25" s="11">
        <f t="shared" si="10"/>
        <v>1.273592147990261</v>
      </c>
      <c r="K25" s="11">
        <f t="shared" si="10"/>
        <v>1.2826422458902282</v>
      </c>
      <c r="L25" s="11">
        <f t="shared" si="10"/>
        <v>1.1885415285056111</v>
      </c>
      <c r="M25" s="11">
        <f t="shared" si="10"/>
        <v>1.2468958556958085</v>
      </c>
      <c r="N25" s="11">
        <f t="shared" si="10"/>
        <v>1.2631313887042983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7" ht="17" x14ac:dyDescent="0.2">
      <c r="B26" s="10" t="s">
        <v>9</v>
      </c>
      <c r="C26" s="10">
        <f>(C17*60*C16/(18*138/10^4))/C25</f>
        <v>1771.3773064802492</v>
      </c>
      <c r="D26" s="10">
        <f t="shared" ref="D26:N26" si="11">(D17*60*D16/(18*138/10^4))/D25</f>
        <v>2611.3049902834423</v>
      </c>
      <c r="E26" s="10">
        <f t="shared" si="11"/>
        <v>3455.1894799634738</v>
      </c>
      <c r="F26" s="10">
        <f t="shared" si="11"/>
        <v>698.45383149624115</v>
      </c>
      <c r="G26" s="10">
        <f t="shared" si="11"/>
        <v>1560.3672913568942</v>
      </c>
      <c r="H26" s="10">
        <f t="shared" si="11"/>
        <v>2399.9714594404472</v>
      </c>
      <c r="I26" s="10">
        <f t="shared" si="11"/>
        <v>1654.4619181653588</v>
      </c>
      <c r="J26" s="10">
        <f t="shared" si="11"/>
        <v>2412.9549185856163</v>
      </c>
      <c r="K26" s="10">
        <f t="shared" si="11"/>
        <v>3046.3760182352685</v>
      </c>
      <c r="L26" s="10">
        <f t="shared" si="11"/>
        <v>805.01194340519703</v>
      </c>
      <c r="M26" s="10">
        <f t="shared" si="11"/>
        <v>1437.46658590945</v>
      </c>
      <c r="N26" s="10">
        <f t="shared" si="11"/>
        <v>2231.391892692895</v>
      </c>
      <c r="O26" s="16"/>
      <c r="P26" s="16"/>
      <c r="Q26" s="16"/>
      <c r="R26" s="16"/>
      <c r="S26" s="16"/>
      <c r="U26" s="16"/>
      <c r="V26" s="16"/>
      <c r="W26" s="16"/>
      <c r="X26" s="16"/>
      <c r="Y26" s="16"/>
      <c r="Z26" s="16"/>
    </row>
    <row r="27" spans="1:27" ht="17" x14ac:dyDescent="0.2">
      <c r="B27" s="10" t="s">
        <v>10</v>
      </c>
      <c r="C27" s="10">
        <f>C26*C20/58.44</f>
        <v>1.5883933335668685</v>
      </c>
      <c r="D27" s="10">
        <f t="shared" ref="D27:H27" si="12">D26*D20/58.44</f>
        <v>2.0598824090767924</v>
      </c>
      <c r="E27" s="10">
        <f t="shared" si="12"/>
        <v>2.1771196803453114</v>
      </c>
      <c r="F27" s="10">
        <f t="shared" si="12"/>
        <v>6.4284135742572532</v>
      </c>
      <c r="G27" s="10">
        <f t="shared" si="12"/>
        <v>10.988187100732166</v>
      </c>
      <c r="H27" s="10">
        <f t="shared" si="12"/>
        <v>12.007300740512015</v>
      </c>
      <c r="I27" s="10">
        <f>I26*I20/95.211</f>
        <v>1.1227984738266679</v>
      </c>
      <c r="J27" s="10">
        <f t="shared" ref="J27:N27" si="13">J26*J20/95.211</f>
        <v>1.4315330050124817</v>
      </c>
      <c r="K27" s="10">
        <f t="shared" si="13"/>
        <v>1.5424350384616776</v>
      </c>
      <c r="L27" s="10">
        <f t="shared" si="13"/>
        <v>3.2908168892378717</v>
      </c>
      <c r="M27" s="10">
        <f>M26*M20/95.211</f>
        <v>4.1852911524668537</v>
      </c>
      <c r="N27" s="10">
        <f t="shared" si="13"/>
        <v>4.7415768803346632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ht="17" x14ac:dyDescent="0.2">
      <c r="B28" s="10" t="s">
        <v>11</v>
      </c>
      <c r="C28" s="10">
        <f>C26/((C13/14.6959)-(C24-C23)*C27)</f>
        <v>476.16582079099379</v>
      </c>
      <c r="D28" s="10">
        <f>D26/((D13/14.6959)-(D24-D23)*D27)</f>
        <v>434.01524021822826</v>
      </c>
      <c r="E28" s="10">
        <f t="shared" ref="E28:N28" si="14">E26/((E13/14.6959)-(E24-E23)*E27)</f>
        <v>401.7541758477422</v>
      </c>
      <c r="F28" s="10">
        <f>F26/((F13/14.6959)-(F24-F23)*F27)</f>
        <v>-36.610046898153016</v>
      </c>
      <c r="G28" s="10">
        <f t="shared" si="14"/>
        <v>-45.286675248093601</v>
      </c>
      <c r="H28" s="10">
        <f t="shared" si="14"/>
        <v>-65.265451130172693</v>
      </c>
      <c r="I28" s="10">
        <f t="shared" si="14"/>
        <v>389.2900139573992</v>
      </c>
      <c r="J28" s="10">
        <f t="shared" si="14"/>
        <v>359.10087314254753</v>
      </c>
      <c r="K28" s="10">
        <f t="shared" si="14"/>
        <v>326.03334439925624</v>
      </c>
      <c r="L28" s="10">
        <f t="shared" si="14"/>
        <v>-139.72960945348467</v>
      </c>
      <c r="M28" s="10">
        <f t="shared" si="14"/>
        <v>-226.80242566119639</v>
      </c>
      <c r="N28" s="10">
        <f t="shared" si="14"/>
        <v>-383.90350117007176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7" ht="17" x14ac:dyDescent="0.2">
      <c r="B29" s="10" t="s">
        <v>12</v>
      </c>
      <c r="C29" s="10">
        <f>C26/C22</f>
        <v>98467.149588036482</v>
      </c>
      <c r="D29" s="10">
        <f t="shared" ref="D29:N29" si="15">D26/D22</f>
        <v>143187.62518797378</v>
      </c>
      <c r="E29" s="10">
        <f t="shared" si="15"/>
        <v>185945.33788453785</v>
      </c>
      <c r="F29" s="10">
        <f t="shared" si="15"/>
        <v>9033.3671099362728</v>
      </c>
      <c r="G29" s="10">
        <f t="shared" si="15"/>
        <v>19631.94135186636</v>
      </c>
      <c r="H29" s="10">
        <f t="shared" si="15"/>
        <v>29440.278270717772</v>
      </c>
      <c r="I29" s="10">
        <f t="shared" si="15"/>
        <v>156719.75733574701</v>
      </c>
      <c r="J29" s="10">
        <f t="shared" si="15"/>
        <v>223920.34024671518</v>
      </c>
      <c r="K29" s="10">
        <f t="shared" si="15"/>
        <v>279749.54003675003</v>
      </c>
      <c r="L29" s="10">
        <f t="shared" si="15"/>
        <v>17599.547964873538</v>
      </c>
      <c r="M29" s="10">
        <f t="shared" si="15"/>
        <v>30511.037546238065</v>
      </c>
      <c r="N29" s="10">
        <f t="shared" si="15"/>
        <v>46403.328094346543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x14ac:dyDescent="0.2">
      <c r="B30" s="10" t="s">
        <v>34</v>
      </c>
      <c r="C30" s="10">
        <f>(C17/3785.41)*100</f>
        <v>0.21643098105621322</v>
      </c>
      <c r="D30" s="10">
        <f>(D17/3785.41)*100</f>
        <v>0.33725805130752023</v>
      </c>
      <c r="E30" s="10">
        <f t="shared" ref="E30:N30" si="16">(E17/3785.41)*100</f>
        <v>0.44859341524431967</v>
      </c>
      <c r="F30" s="10">
        <f t="shared" si="16"/>
        <v>8.1018436576222916E-2</v>
      </c>
      <c r="G30" s="10">
        <f t="shared" si="16"/>
        <v>0.19025257501829393</v>
      </c>
      <c r="H30" s="10">
        <f t="shared" si="16"/>
        <v>0.29724124995707202</v>
      </c>
      <c r="I30" s="10">
        <f t="shared" si="16"/>
        <v>0.22037771337847156</v>
      </c>
      <c r="J30" s="10">
        <f t="shared" si="16"/>
        <v>0.33607984339873354</v>
      </c>
      <c r="K30" s="10">
        <f t="shared" si="16"/>
        <v>0.42732227156371433</v>
      </c>
      <c r="L30" s="10">
        <f t="shared" si="16"/>
        <v>0.10460082263215872</v>
      </c>
      <c r="M30" s="10">
        <f t="shared" si="16"/>
        <v>0.19597243099162309</v>
      </c>
      <c r="N30" s="10">
        <f t="shared" si="16"/>
        <v>0.30819382840960424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7" ht="17" x14ac:dyDescent="0.2">
      <c r="B31" s="10" t="s">
        <v>13</v>
      </c>
      <c r="C31" s="10">
        <f>1-C20/C21</f>
        <v>0.95252097242847089</v>
      </c>
      <c r="D31" s="10">
        <f t="shared" ref="D31:N31" si="17">1-D20/D21</f>
        <v>0.95853874993085952</v>
      </c>
      <c r="E31" s="10">
        <f t="shared" si="17"/>
        <v>0.96720246129893772</v>
      </c>
      <c r="F31" s="10">
        <f t="shared" si="17"/>
        <v>0.89362635743541363</v>
      </c>
      <c r="G31" s="10">
        <f t="shared" si="17"/>
        <v>0.9186107337023699</v>
      </c>
      <c r="H31" s="10">
        <f t="shared" si="17"/>
        <v>0.94217611902515819</v>
      </c>
      <c r="I31" s="10">
        <f t="shared" si="17"/>
        <v>0.93959763690242493</v>
      </c>
      <c r="J31" s="10">
        <f t="shared" si="17"/>
        <v>0.9478179172729162</v>
      </c>
      <c r="K31" s="10">
        <f t="shared" si="17"/>
        <v>0.95557044566838278</v>
      </c>
      <c r="L31" s="10">
        <f t="shared" si="17"/>
        <v>0.91796022734010341</v>
      </c>
      <c r="M31" s="10">
        <f t="shared" si="17"/>
        <v>0.9417971176953488</v>
      </c>
      <c r="N31" s="10">
        <f t="shared" si="17"/>
        <v>0.95768046814715524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 t="s">
        <v>19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44">
    <mergeCell ref="I12:K12"/>
    <mergeCell ref="L12:N12"/>
    <mergeCell ref="I8:K8"/>
    <mergeCell ref="L8:N8"/>
    <mergeCell ref="I9:K9"/>
    <mergeCell ref="L9:N9"/>
    <mergeCell ref="I11:K11"/>
    <mergeCell ref="L11:N11"/>
    <mergeCell ref="F8:H8"/>
    <mergeCell ref="F9:H9"/>
    <mergeCell ref="C11:E11"/>
    <mergeCell ref="F11:H11"/>
    <mergeCell ref="C12:E12"/>
    <mergeCell ref="F12:H12"/>
    <mergeCell ref="C8:E8"/>
    <mergeCell ref="C9:E9"/>
    <mergeCell ref="O3:T3"/>
    <mergeCell ref="U5:W5"/>
    <mergeCell ref="U3:Z3"/>
    <mergeCell ref="X12:Z12"/>
    <mergeCell ref="X11:Z11"/>
    <mergeCell ref="X9:Z9"/>
    <mergeCell ref="X8:Z8"/>
    <mergeCell ref="X5:Z5"/>
    <mergeCell ref="O11:Q11"/>
    <mergeCell ref="U11:W11"/>
    <mergeCell ref="O12:Q12"/>
    <mergeCell ref="U12:W12"/>
    <mergeCell ref="O5:Q5"/>
    <mergeCell ref="R5:T5"/>
    <mergeCell ref="R8:T8"/>
    <mergeCell ref="R9:T9"/>
    <mergeCell ref="I3:N3"/>
    <mergeCell ref="I5:K5"/>
    <mergeCell ref="L5:N5"/>
    <mergeCell ref="C3:H3"/>
    <mergeCell ref="C5:E5"/>
    <mergeCell ref="F5:H5"/>
    <mergeCell ref="R11:T11"/>
    <mergeCell ref="R12:T12"/>
    <mergeCell ref="O8:Q8"/>
    <mergeCell ref="O9:Q9"/>
    <mergeCell ref="U8:W8"/>
    <mergeCell ref="U9:W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4BF0-FC9E-1649-B74A-1D2D26E94D1A}">
  <dimension ref="A1:G13"/>
  <sheetViews>
    <sheetView zoomScale="140" zoomScaleNormal="140" workbookViewId="0">
      <selection activeCell="B27" sqref="B27"/>
    </sheetView>
  </sheetViews>
  <sheetFormatPr baseColWidth="10" defaultRowHeight="15" x14ac:dyDescent="0.2"/>
  <cols>
    <col min="1" max="4" width="19.5" customWidth="1"/>
    <col min="5" max="5" width="18" customWidth="1"/>
    <col min="6" max="6" width="18.33203125" customWidth="1"/>
    <col min="7" max="7" width="19.83203125" customWidth="1"/>
  </cols>
  <sheetData>
    <row r="1" spans="1:7" ht="32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TRANSPOSE(Sheet1!B26:N26)</f>
        <v>Water Flux corrected to 25°C Jw, mol/m^2-hr</v>
      </c>
      <c r="E1" s="18" t="s">
        <v>42</v>
      </c>
    </row>
    <row r="2" spans="1:7" x14ac:dyDescent="0.2">
      <c r="A2">
        <v>1</v>
      </c>
      <c r="B2">
        <v>75</v>
      </c>
      <c r="C2">
        <f>B2*6894.7572931783/1000</f>
        <v>517.10679698837248</v>
      </c>
      <c r="D2">
        <v>1771.3773064802492</v>
      </c>
      <c r="E2">
        <f>((D2*18.016)/'water density'!$E$8)/1000</f>
        <v>32.007555843285857</v>
      </c>
    </row>
    <row r="3" spans="1:7" x14ac:dyDescent="0.2">
      <c r="A3">
        <v>1</v>
      </c>
      <c r="B3">
        <v>115</v>
      </c>
      <c r="C3">
        <f t="shared" ref="C3:C13" si="0">B3*6894.7572931783/1000</f>
        <v>792.89708871550454</v>
      </c>
      <c r="D3">
        <v>2611.3049902834423</v>
      </c>
      <c r="E3">
        <f>((D3*18.016)/'water density'!$E$8)/1000</f>
        <v>47.184464876331674</v>
      </c>
    </row>
    <row r="4" spans="1:7" x14ac:dyDescent="0.2">
      <c r="A4">
        <v>1</v>
      </c>
      <c r="B4">
        <v>155</v>
      </c>
      <c r="C4">
        <f t="shared" si="0"/>
        <v>1068.6873804426366</v>
      </c>
      <c r="D4">
        <v>3455.1894799634738</v>
      </c>
      <c r="E4">
        <f>((D4*18.016)/'water density'!$E$8)/1000</f>
        <v>62.432870639408186</v>
      </c>
    </row>
    <row r="5" spans="1:7" x14ac:dyDescent="0.2">
      <c r="A5">
        <v>2</v>
      </c>
      <c r="B5">
        <v>75</v>
      </c>
      <c r="C5">
        <f t="shared" si="0"/>
        <v>517.10679698837248</v>
      </c>
      <c r="D5">
        <v>698.45383149624115</v>
      </c>
      <c r="E5">
        <f>((D5*18.016)/'water density'!$E$8)/1000</f>
        <v>12.620574924262856</v>
      </c>
    </row>
    <row r="6" spans="1:7" x14ac:dyDescent="0.2">
      <c r="A6">
        <v>2</v>
      </c>
      <c r="B6">
        <v>115</v>
      </c>
      <c r="C6">
        <f t="shared" si="0"/>
        <v>792.89708871550454</v>
      </c>
      <c r="D6">
        <v>1560.3672913568942</v>
      </c>
      <c r="E6">
        <f>((D6*18.016)/'water density'!$E$8)/1000</f>
        <v>28.194751638419142</v>
      </c>
    </row>
    <row r="7" spans="1:7" x14ac:dyDescent="0.2">
      <c r="A7">
        <v>2</v>
      </c>
      <c r="B7">
        <v>155</v>
      </c>
      <c r="C7">
        <f t="shared" si="0"/>
        <v>1068.6873804426366</v>
      </c>
      <c r="D7">
        <v>2399.9714594404472</v>
      </c>
      <c r="E7">
        <f>((D7*18.016)/'water density'!$E$8)/1000</f>
        <v>43.365814967433018</v>
      </c>
    </row>
    <row r="8" spans="1:7" ht="38" customHeight="1" x14ac:dyDescent="0.2">
      <c r="A8">
        <v>3</v>
      </c>
      <c r="B8">
        <v>75</v>
      </c>
      <c r="C8">
        <f t="shared" si="0"/>
        <v>517.10679698837248</v>
      </c>
      <c r="D8">
        <v>1654.4619181653588</v>
      </c>
      <c r="E8">
        <f>((D8*18.016)/'water density'!$E$8)/1000</f>
        <v>29.894976097153702</v>
      </c>
      <c r="G8" s="18"/>
    </row>
    <row r="9" spans="1:7" x14ac:dyDescent="0.2">
      <c r="A9">
        <v>3</v>
      </c>
      <c r="B9">
        <v>115</v>
      </c>
      <c r="C9">
        <f t="shared" si="0"/>
        <v>792.89708871550454</v>
      </c>
      <c r="D9">
        <v>2412.9549185856163</v>
      </c>
      <c r="E9">
        <f>((D9*18.016)/'water density'!$E$8)/1000</f>
        <v>43.600417043516835</v>
      </c>
    </row>
    <row r="10" spans="1:7" x14ac:dyDescent="0.2">
      <c r="A10">
        <v>3</v>
      </c>
      <c r="B10">
        <v>155</v>
      </c>
      <c r="C10">
        <f t="shared" si="0"/>
        <v>1068.6873804426366</v>
      </c>
      <c r="D10">
        <v>3046.3760182352685</v>
      </c>
      <c r="E10">
        <f>((D10*18.016)/'water density'!$E$8)/1000</f>
        <v>55.045895736950598</v>
      </c>
    </row>
    <row r="11" spans="1:7" x14ac:dyDescent="0.2">
      <c r="A11">
        <v>4</v>
      </c>
      <c r="B11">
        <v>75</v>
      </c>
      <c r="C11">
        <f t="shared" si="0"/>
        <v>517.10679698837248</v>
      </c>
      <c r="D11">
        <v>805.01194340519703</v>
      </c>
      <c r="E11">
        <f>((D11*18.016)/'water density'!$E$8)/1000</f>
        <v>14.546005889762828</v>
      </c>
    </row>
    <row r="12" spans="1:7" x14ac:dyDescent="0.2">
      <c r="A12">
        <v>4</v>
      </c>
      <c r="B12">
        <v>115</v>
      </c>
      <c r="C12">
        <f t="shared" si="0"/>
        <v>792.89708871550454</v>
      </c>
      <c r="D12">
        <v>1437.46658590945</v>
      </c>
      <c r="E12">
        <f>((D12*18.016)/'water density'!$E$8)/1000</f>
        <v>25.974021374800309</v>
      </c>
    </row>
    <row r="13" spans="1:7" x14ac:dyDescent="0.2">
      <c r="A13">
        <v>4</v>
      </c>
      <c r="B13">
        <v>155</v>
      </c>
      <c r="C13">
        <f t="shared" si="0"/>
        <v>1068.6873804426366</v>
      </c>
      <c r="D13">
        <v>2231.391892692895</v>
      </c>
      <c r="E13">
        <f>((D13*18.016)/'water density'!$E$8)/1000</f>
        <v>40.319699452138998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2749-D02D-4E4E-8932-C02A790ACEB4}">
  <dimension ref="A1:J13"/>
  <sheetViews>
    <sheetView zoomScale="160" zoomScaleNormal="160" workbookViewId="0">
      <selection sqref="A1:A13"/>
    </sheetView>
  </sheetViews>
  <sheetFormatPr baseColWidth="10" defaultRowHeight="15" x14ac:dyDescent="0.2"/>
  <cols>
    <col min="2" max="7" width="15.33203125" customWidth="1"/>
  </cols>
  <sheetData>
    <row r="1" spans="1:10" ht="64" x14ac:dyDescent="0.2">
      <c r="A1" t="s">
        <v>44</v>
      </c>
      <c r="B1" s="18" t="str" cm="1">
        <f t="array" ref="B1:B13">TRANSPOSE(Sheet1!B13:N13)</f>
        <v>Transmembrane Pressure drop, psi</v>
      </c>
      <c r="C1" s="18" t="s">
        <v>43</v>
      </c>
      <c r="D1" s="18" t="str" cm="1">
        <f t="array" ref="D1:D13">TRANSPOSE(Sheet1!B24:N24)</f>
        <v>Feed Osmotic pressure, pf (atm)</v>
      </c>
      <c r="E1" s="18" t="s">
        <v>45</v>
      </c>
      <c r="F1" s="18" t="str" cm="1">
        <f t="array" ref="F1:F13">TRANSPOSE(Sheet1!B23:N23)</f>
        <v>Permeate Osmotic pressure, pp (atm)</v>
      </c>
      <c r="G1" s="18" t="s">
        <v>45</v>
      </c>
      <c r="H1" s="18" t="s">
        <v>46</v>
      </c>
      <c r="I1" s="18" t="s">
        <v>47</v>
      </c>
      <c r="J1" t="str" cm="1">
        <f t="array" ref="J1:J13">fluxVsPressure!E1:E13</f>
        <v>Water Flux corrected to 25°C Jw, L/m^2-hr</v>
      </c>
    </row>
    <row r="2" spans="1:10" x14ac:dyDescent="0.2">
      <c r="A2">
        <v>1</v>
      </c>
      <c r="B2">
        <v>75</v>
      </c>
      <c r="C2">
        <f>B2*6894.7572931783/1000</f>
        <v>517.10679698837248</v>
      </c>
      <c r="D2">
        <v>0.91451975007494879</v>
      </c>
      <c r="E2">
        <f>D2*101.325</f>
        <v>92.663713676344187</v>
      </c>
      <c r="F2">
        <v>4.3589832215199346E-2</v>
      </c>
      <c r="G2">
        <f>F2*101.325</f>
        <v>4.4167397492050737</v>
      </c>
      <c r="H2">
        <f>E2-G2</f>
        <v>88.246973927139109</v>
      </c>
      <c r="I2">
        <f>C2-H2</f>
        <v>428.85982306123339</v>
      </c>
      <c r="J2">
        <v>32.007555843285857</v>
      </c>
    </row>
    <row r="3" spans="1:10" x14ac:dyDescent="0.2">
      <c r="A3">
        <v>1</v>
      </c>
      <c r="B3">
        <v>115</v>
      </c>
      <c r="C3">
        <f t="shared" ref="C3:C13" si="0">B3*6894.7572931783/1000</f>
        <v>792.89708871550454</v>
      </c>
      <c r="D3">
        <v>0.91627883262645449</v>
      </c>
      <c r="E3">
        <f t="shared" ref="E3:E13" si="1">D3*101.325</f>
        <v>92.841952715875507</v>
      </c>
      <c r="F3">
        <v>3.8223213164998292E-2</v>
      </c>
      <c r="G3">
        <f t="shared" ref="G3:G13" si="2">F3*101.325</f>
        <v>3.8729670739434519</v>
      </c>
      <c r="H3">
        <f t="shared" ref="H3:H13" si="3">E3-G3</f>
        <v>88.968985641932051</v>
      </c>
      <c r="I3">
        <f t="shared" ref="I3:I13" si="4">C3-H3</f>
        <v>703.92810307357252</v>
      </c>
      <c r="J3">
        <v>47.184464876331674</v>
      </c>
    </row>
    <row r="4" spans="1:10" x14ac:dyDescent="0.2">
      <c r="A4">
        <v>1</v>
      </c>
      <c r="B4">
        <v>155</v>
      </c>
      <c r="C4">
        <f t="shared" si="0"/>
        <v>1068.6873804426366</v>
      </c>
      <c r="D4">
        <v>0.92476680694413071</v>
      </c>
      <c r="E4">
        <f t="shared" si="1"/>
        <v>93.701996713614051</v>
      </c>
      <c r="F4">
        <v>3.0511134773485625E-2</v>
      </c>
      <c r="G4">
        <f t="shared" si="2"/>
        <v>3.0915407309234308</v>
      </c>
      <c r="H4">
        <f t="shared" si="3"/>
        <v>90.610455982690624</v>
      </c>
      <c r="I4">
        <f t="shared" si="4"/>
        <v>978.07692445994599</v>
      </c>
      <c r="J4">
        <v>62.432870639408186</v>
      </c>
    </row>
    <row r="5" spans="1:10" x14ac:dyDescent="0.2">
      <c r="A5">
        <v>2</v>
      </c>
      <c r="B5">
        <v>75</v>
      </c>
      <c r="C5">
        <f t="shared" si="0"/>
        <v>517.10679698837248</v>
      </c>
      <c r="D5">
        <v>4.2109824011088293</v>
      </c>
      <c r="E5">
        <f t="shared" si="1"/>
        <v>426.67779179235214</v>
      </c>
      <c r="F5">
        <v>0.44929767100231</v>
      </c>
      <c r="G5">
        <f t="shared" si="2"/>
        <v>45.525086514309059</v>
      </c>
      <c r="H5">
        <f t="shared" si="3"/>
        <v>381.15270527804307</v>
      </c>
      <c r="I5">
        <f t="shared" si="4"/>
        <v>135.95409171032941</v>
      </c>
      <c r="J5">
        <v>12.620574924262856</v>
      </c>
    </row>
    <row r="6" spans="1:10" x14ac:dyDescent="0.2">
      <c r="A6">
        <v>2</v>
      </c>
      <c r="B6">
        <v>115</v>
      </c>
      <c r="C6">
        <f t="shared" si="0"/>
        <v>792.89708871550454</v>
      </c>
      <c r="D6">
        <v>4.1903821160831622</v>
      </c>
      <c r="E6">
        <f t="shared" si="1"/>
        <v>424.59046791212643</v>
      </c>
      <c r="F6">
        <v>0.34255532228567753</v>
      </c>
      <c r="G6">
        <f t="shared" si="2"/>
        <v>34.709418030596275</v>
      </c>
      <c r="H6">
        <f t="shared" si="3"/>
        <v>389.88104988153015</v>
      </c>
      <c r="I6">
        <f t="shared" si="4"/>
        <v>403.01603883397439</v>
      </c>
      <c r="J6">
        <v>28.194751638419142</v>
      </c>
    </row>
    <row r="7" spans="1:10" x14ac:dyDescent="0.2">
      <c r="A7">
        <v>2</v>
      </c>
      <c r="B7">
        <v>155</v>
      </c>
      <c r="C7">
        <f t="shared" si="0"/>
        <v>1068.6873804426366</v>
      </c>
      <c r="D7">
        <v>4.1839889241786441</v>
      </c>
      <c r="E7">
        <f t="shared" si="1"/>
        <v>423.94267774240114</v>
      </c>
      <c r="F7">
        <v>0.24308459051805273</v>
      </c>
      <c r="G7">
        <f t="shared" si="2"/>
        <v>24.630546134241694</v>
      </c>
      <c r="H7">
        <f t="shared" si="3"/>
        <v>399.31213160815946</v>
      </c>
      <c r="I7">
        <f t="shared" si="4"/>
        <v>669.37524883447713</v>
      </c>
      <c r="J7">
        <v>43.365814967433018</v>
      </c>
    </row>
    <row r="8" spans="1:10" x14ac:dyDescent="0.2">
      <c r="A8">
        <v>3</v>
      </c>
      <c r="B8">
        <v>75</v>
      </c>
      <c r="C8">
        <f t="shared" si="0"/>
        <v>517.10679698837248</v>
      </c>
      <c r="D8">
        <v>0.80920338778151046</v>
      </c>
      <c r="E8">
        <f t="shared" si="1"/>
        <v>81.992533266961544</v>
      </c>
      <c r="F8">
        <v>4.9033799046111368E-2</v>
      </c>
      <c r="G8">
        <f t="shared" si="2"/>
        <v>4.9683496883472342</v>
      </c>
      <c r="H8">
        <f t="shared" si="3"/>
        <v>77.024183578614313</v>
      </c>
      <c r="I8">
        <f t="shared" si="4"/>
        <v>440.08261340975815</v>
      </c>
      <c r="J8">
        <v>29.894976097153702</v>
      </c>
    </row>
    <row r="9" spans="1:10" x14ac:dyDescent="0.2">
      <c r="A9">
        <v>3</v>
      </c>
      <c r="B9">
        <v>115</v>
      </c>
      <c r="C9">
        <f t="shared" si="0"/>
        <v>792.89708871550454</v>
      </c>
      <c r="D9">
        <v>0.81528969821107855</v>
      </c>
      <c r="E9">
        <f t="shared" si="1"/>
        <v>82.609228671237531</v>
      </c>
      <c r="F9">
        <v>4.2777310196143309E-2</v>
      </c>
      <c r="G9">
        <f t="shared" si="2"/>
        <v>4.3344109556242207</v>
      </c>
      <c r="H9">
        <f t="shared" si="3"/>
        <v>78.27481771561331</v>
      </c>
      <c r="I9">
        <f t="shared" si="4"/>
        <v>714.62227099989127</v>
      </c>
      <c r="J9">
        <v>43.600417043516835</v>
      </c>
    </row>
    <row r="10" spans="1:10" x14ac:dyDescent="0.2">
      <c r="A10">
        <v>3</v>
      </c>
      <c r="B10">
        <v>155</v>
      </c>
      <c r="C10">
        <f t="shared" si="0"/>
        <v>1068.6873804426366</v>
      </c>
      <c r="D10">
        <v>0.81664666127516772</v>
      </c>
      <c r="E10">
        <f t="shared" si="1"/>
        <v>82.746722953706367</v>
      </c>
      <c r="F10">
        <v>3.6449517883954279E-2</v>
      </c>
      <c r="G10">
        <f t="shared" si="2"/>
        <v>3.6932473995916673</v>
      </c>
      <c r="H10">
        <f t="shared" si="3"/>
        <v>79.053475554114698</v>
      </c>
      <c r="I10">
        <f t="shared" si="4"/>
        <v>989.6339048885219</v>
      </c>
      <c r="J10">
        <v>55.045895736950598</v>
      </c>
    </row>
    <row r="11" spans="1:10" x14ac:dyDescent="0.2">
      <c r="A11">
        <v>4</v>
      </c>
      <c r="B11">
        <v>75</v>
      </c>
      <c r="C11">
        <f t="shared" si="0"/>
        <v>517.10679698837248</v>
      </c>
      <c r="D11">
        <v>3.5973435883873721</v>
      </c>
      <c r="E11">
        <f t="shared" si="1"/>
        <v>364.50083909335046</v>
      </c>
      <c r="F11">
        <v>0.29583004684437864</v>
      </c>
      <c r="G11">
        <f t="shared" si="2"/>
        <v>29.974979496506666</v>
      </c>
      <c r="H11">
        <f t="shared" si="3"/>
        <v>334.52585959684382</v>
      </c>
      <c r="I11">
        <f t="shared" si="4"/>
        <v>182.58093739152866</v>
      </c>
      <c r="J11">
        <v>14.546005889762828</v>
      </c>
    </row>
    <row r="12" spans="1:10" x14ac:dyDescent="0.2">
      <c r="A12">
        <v>4</v>
      </c>
      <c r="B12">
        <v>115</v>
      </c>
      <c r="C12">
        <f t="shared" si="0"/>
        <v>792.89708871550454</v>
      </c>
      <c r="D12">
        <v>3.5946673041166464</v>
      </c>
      <c r="E12">
        <f t="shared" si="1"/>
        <v>364.22966458961918</v>
      </c>
      <c r="F12">
        <v>0.21060640769917258</v>
      </c>
      <c r="G12">
        <f t="shared" si="2"/>
        <v>21.339694260118662</v>
      </c>
      <c r="H12">
        <f t="shared" si="3"/>
        <v>342.8899703295005</v>
      </c>
      <c r="I12">
        <f t="shared" si="4"/>
        <v>450.00711838600404</v>
      </c>
      <c r="J12">
        <v>25.974021374800309</v>
      </c>
    </row>
    <row r="13" spans="1:10" x14ac:dyDescent="0.2">
      <c r="A13">
        <v>4</v>
      </c>
      <c r="B13">
        <v>155</v>
      </c>
      <c r="C13">
        <f t="shared" si="0"/>
        <v>1068.6873804426366</v>
      </c>
      <c r="D13">
        <v>3.6035882349453527</v>
      </c>
      <c r="E13">
        <f t="shared" si="1"/>
        <v>365.13357790583785</v>
      </c>
      <c r="F13">
        <v>0.15335704463683825</v>
      </c>
      <c r="G13">
        <f t="shared" si="2"/>
        <v>15.538902547827636</v>
      </c>
      <c r="H13">
        <f t="shared" si="3"/>
        <v>349.59467535801019</v>
      </c>
      <c r="I13">
        <f t="shared" si="4"/>
        <v>719.09270508462646</v>
      </c>
      <c r="J13">
        <v>40.319699452138998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540-776A-F943-B79E-86806F7B9675}">
  <dimension ref="A1:C13"/>
  <sheetViews>
    <sheetView tabSelected="1" zoomScale="190" zoomScaleNormal="190" workbookViewId="0">
      <selection activeCell="E10" sqref="E10"/>
    </sheetView>
  </sheetViews>
  <sheetFormatPr baseColWidth="10" defaultRowHeight="15" x14ac:dyDescent="0.2"/>
  <cols>
    <col min="1" max="5" width="22.1640625" customWidth="1"/>
  </cols>
  <sheetData>
    <row r="1" spans="1:3" ht="44" customHeight="1" x14ac:dyDescent="0.2">
      <c r="A1" t="s">
        <v>44</v>
      </c>
      <c r="B1" s="18" t="str" cm="1">
        <f t="array" ref="B1:B13">TRANSPOSE(Sheet1!B27:N27)</f>
        <v>Salt Flux corrected to 25°C Js, mol/m^2-hr</v>
      </c>
      <c r="C1" t="str" cm="1">
        <f t="array" ref="C1:C13">TRANSPOSE(Sheet1!B22:N22)</f>
        <v>Salt concentration Gradient, DCs, mol/L</v>
      </c>
    </row>
    <row r="2" spans="1:3" x14ac:dyDescent="0.2">
      <c r="A2">
        <v>1</v>
      </c>
      <c r="B2">
        <v>1.5883933335668685</v>
      </c>
      <c r="C2">
        <v>1.7989525581793293E-2</v>
      </c>
    </row>
    <row r="3" spans="1:3" x14ac:dyDescent="0.2">
      <c r="A3">
        <v>1</v>
      </c>
      <c r="B3">
        <v>2.0598824090767924</v>
      </c>
      <c r="C3">
        <v>1.8236946013004789E-2</v>
      </c>
    </row>
    <row r="4" spans="1:3" x14ac:dyDescent="0.2">
      <c r="A4">
        <v>1</v>
      </c>
      <c r="B4">
        <v>2.1771196803453114</v>
      </c>
      <c r="C4">
        <v>1.8581748374401096E-2</v>
      </c>
    </row>
    <row r="5" spans="1:3" x14ac:dyDescent="0.2">
      <c r="A5">
        <v>2</v>
      </c>
      <c r="B5">
        <v>6.4284135742572532</v>
      </c>
      <c r="C5">
        <v>7.731932323750855E-2</v>
      </c>
    </row>
    <row r="6" spans="1:3" x14ac:dyDescent="0.2">
      <c r="A6">
        <v>2</v>
      </c>
      <c r="B6">
        <v>10.988187100732166</v>
      </c>
      <c r="C6">
        <v>7.9481048939082824E-2</v>
      </c>
    </row>
    <row r="7" spans="1:3" x14ac:dyDescent="0.2">
      <c r="A7">
        <v>2</v>
      </c>
      <c r="B7">
        <v>12.007300740512015</v>
      </c>
      <c r="C7">
        <v>8.1519999144421623E-2</v>
      </c>
    </row>
    <row r="8" spans="1:3" x14ac:dyDescent="0.2">
      <c r="A8">
        <v>3</v>
      </c>
      <c r="B8">
        <v>1.1227984738266679</v>
      </c>
      <c r="C8">
        <v>1.0556817763703773E-2</v>
      </c>
    </row>
    <row r="9" spans="1:3" x14ac:dyDescent="0.2">
      <c r="A9">
        <v>3</v>
      </c>
      <c r="B9">
        <v>1.4315330050124817</v>
      </c>
      <c r="C9">
        <v>1.0775952358445978E-2</v>
      </c>
    </row>
    <row r="10" spans="1:3" x14ac:dyDescent="0.2">
      <c r="A10">
        <v>3</v>
      </c>
      <c r="B10">
        <v>1.5424350384616776</v>
      </c>
      <c r="C10">
        <v>1.0889655145939019E-2</v>
      </c>
    </row>
    <row r="11" spans="1:3" x14ac:dyDescent="0.2">
      <c r="A11">
        <v>4</v>
      </c>
      <c r="B11">
        <v>3.2908168892378717</v>
      </c>
      <c r="C11">
        <v>4.5740489756435715E-2</v>
      </c>
    </row>
    <row r="12" spans="1:3" x14ac:dyDescent="0.2">
      <c r="A12">
        <v>4</v>
      </c>
      <c r="B12">
        <v>4.1852911524668537</v>
      </c>
      <c r="C12">
        <v>4.7113002425139952E-2</v>
      </c>
    </row>
    <row r="13" spans="1:3" x14ac:dyDescent="0.2">
      <c r="A13">
        <v>4</v>
      </c>
      <c r="B13">
        <v>4.7415768803346632</v>
      </c>
      <c r="C13">
        <v>4.808689342617975E-2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794-4739-471C-8187-5C37806194C4}">
  <dimension ref="D4:H9"/>
  <sheetViews>
    <sheetView zoomScale="125" workbookViewId="0">
      <selection activeCell="E26" sqref="E26"/>
    </sheetView>
  </sheetViews>
  <sheetFormatPr baseColWidth="10" defaultColWidth="8.83203125" defaultRowHeight="15" x14ac:dyDescent="0.2"/>
  <sheetData>
    <row r="4" spans="4:8" x14ac:dyDescent="0.2">
      <c r="D4" t="s">
        <v>35</v>
      </c>
      <c r="E4" t="s">
        <v>36</v>
      </c>
      <c r="G4" t="s">
        <v>38</v>
      </c>
    </row>
    <row r="5" spans="4:8" x14ac:dyDescent="0.2">
      <c r="D5">
        <v>10</v>
      </c>
      <c r="E5">
        <v>0.99965000000000004</v>
      </c>
      <c r="G5">
        <f xml:space="preserve"> -0.0002*D5 + 1.0019</f>
        <v>0.99990000000000001</v>
      </c>
      <c r="H5" t="s">
        <v>37</v>
      </c>
    </row>
    <row r="6" spans="4:8" x14ac:dyDescent="0.2">
      <c r="D6">
        <v>15</v>
      </c>
      <c r="E6">
        <v>0.99905999999999995</v>
      </c>
      <c r="G6">
        <f t="shared" ref="G6:G9" si="0" xml:space="preserve"> -0.0002*D6 + 1.0019</f>
        <v>0.99890000000000001</v>
      </c>
    </row>
    <row r="7" spans="4:8" x14ac:dyDescent="0.2">
      <c r="D7">
        <v>20</v>
      </c>
      <c r="E7">
        <v>0.99819000000000002</v>
      </c>
      <c r="G7">
        <f t="shared" si="0"/>
        <v>0.99790000000000001</v>
      </c>
    </row>
    <row r="8" spans="4:8" x14ac:dyDescent="0.2">
      <c r="D8">
        <v>25</v>
      </c>
      <c r="E8">
        <v>0.99704999999999999</v>
      </c>
      <c r="G8">
        <f t="shared" si="0"/>
        <v>0.99690000000000001</v>
      </c>
    </row>
    <row r="9" spans="4:8" x14ac:dyDescent="0.2">
      <c r="D9">
        <v>30</v>
      </c>
      <c r="E9">
        <v>0.99567000000000005</v>
      </c>
      <c r="G9">
        <f t="shared" si="0"/>
        <v>0.99590000000000001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fluxVsPressure</vt:lpstr>
      <vt:lpstr>fluxVsPDiff</vt:lpstr>
      <vt:lpstr>cVsCDrop</vt:lpstr>
      <vt:lpstr>water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Ogden, Gregory E - (gogden)</dc:creator>
  <cp:lastModifiedBy>George, Steven E - (stevengeorge)</cp:lastModifiedBy>
  <cp:lastPrinted>2025-03-19T18:14:34Z</cp:lastPrinted>
  <dcterms:created xsi:type="dcterms:W3CDTF">2024-02-29T17:58:13Z</dcterms:created>
  <dcterms:modified xsi:type="dcterms:W3CDTF">2025-03-25T21:18:02Z</dcterms:modified>
</cp:coreProperties>
</file>