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Mu_13\Desktop\"/>
    </mc:Choice>
  </mc:AlternateContent>
  <xr:revisionPtr revIDLastSave="0" documentId="13_ncr:1_{BE16674C-BF53-47A9-A844-7BDD75C0AD2F}" xr6:coauthVersionLast="47" xr6:coauthVersionMax="47" xr10:uidLastSave="{00000000-0000-0000-0000-000000000000}"/>
  <bookViews>
    <workbookView xWindow="-108" yWindow="-108" windowWidth="23256" windowHeight="12456" xr2:uid="{00000000-000D-0000-FFFF-FFFF00000000}"/>
  </bookViews>
  <sheets>
    <sheet name="热阻分析法2023.7.27更新" sheetId="5" r:id="rId1"/>
    <sheet name="F1板U1300" sheetId="1" r:id="rId2"/>
    <sheet name="F1板Die1400" sheetId="3" r:id="rId3"/>
    <sheet name="热阻分析法2023.6.20更新" sheetId="2" r:id="rId4"/>
    <sheet name="F1板U1204计算" sheetId="4" r:id="rId5"/>
  </sheets>
  <calcPr calcId="191029" iterate="1" iterateCount="100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5" l="1"/>
  <c r="I5" i="5"/>
  <c r="I4" i="5"/>
  <c r="E8" i="5"/>
  <c r="E9" i="5"/>
  <c r="E22" i="2"/>
  <c r="E23" i="5"/>
  <c r="E19" i="5"/>
  <c r="E34" i="5"/>
  <c r="E30" i="5"/>
  <c r="E52" i="5"/>
  <c r="N20" i="5"/>
  <c r="K20" i="5"/>
  <c r="N19" i="5"/>
  <c r="K19" i="5"/>
  <c r="E41" i="5"/>
  <c r="N18" i="5"/>
  <c r="K18" i="5"/>
  <c r="N17" i="5"/>
  <c r="K17" i="5"/>
  <c r="N16" i="5"/>
  <c r="K16" i="5"/>
  <c r="B5" i="5"/>
  <c r="B5" i="2"/>
  <c r="B36" i="4"/>
  <c r="E29" i="4"/>
  <c r="N20" i="4"/>
  <c r="K20" i="4"/>
  <c r="N19" i="4"/>
  <c r="K19" i="4"/>
  <c r="B19" i="4"/>
  <c r="E18" i="4" s="1"/>
  <c r="N18" i="4"/>
  <c r="K18" i="4"/>
  <c r="N17" i="4"/>
  <c r="K17" i="4"/>
  <c r="N16" i="4"/>
  <c r="K16" i="4"/>
  <c r="E9" i="4"/>
  <c r="E8" i="4"/>
  <c r="B5" i="4"/>
  <c r="B30" i="4" s="1"/>
  <c r="N16" i="2"/>
  <c r="I12" i="2"/>
  <c r="I3" i="2" s="1"/>
  <c r="B36" i="3"/>
  <c r="E29" i="3"/>
  <c r="N20" i="3"/>
  <c r="K20" i="3"/>
  <c r="N19" i="3"/>
  <c r="K19" i="3"/>
  <c r="B19" i="3"/>
  <c r="E18" i="3" s="1"/>
  <c r="N18" i="3"/>
  <c r="K18" i="3"/>
  <c r="N17" i="3"/>
  <c r="K17" i="3"/>
  <c r="N16" i="3"/>
  <c r="K16" i="3"/>
  <c r="E9" i="3"/>
  <c r="E8" i="3"/>
  <c r="I5" i="3"/>
  <c r="I7" i="3" s="1"/>
  <c r="B5" i="3"/>
  <c r="I12" i="3" s="1"/>
  <c r="I3" i="3" s="1"/>
  <c r="L3" i="3" s="1"/>
  <c r="L4" i="3" s="1"/>
  <c r="B28" i="3" s="1"/>
  <c r="E29" i="2"/>
  <c r="N20" i="2"/>
  <c r="K20" i="2"/>
  <c r="N19" i="2"/>
  <c r="K19" i="2"/>
  <c r="N18" i="2"/>
  <c r="K18" i="2"/>
  <c r="B19" i="2"/>
  <c r="E18" i="2" s="1"/>
  <c r="N17" i="2"/>
  <c r="K17" i="2"/>
  <c r="K16" i="2"/>
  <c r="E9" i="2"/>
  <c r="E8" i="2"/>
  <c r="N17" i="1"/>
  <c r="N18" i="1"/>
  <c r="N19" i="1"/>
  <c r="N20" i="1"/>
  <c r="N16" i="1"/>
  <c r="K17" i="1"/>
  <c r="K18" i="1"/>
  <c r="K19" i="1"/>
  <c r="K20" i="1"/>
  <c r="K16" i="1"/>
  <c r="E7" i="1"/>
  <c r="I7" i="1"/>
  <c r="L3" i="1"/>
  <c r="L4" i="1" s="1"/>
  <c r="E28" i="1"/>
  <c r="B35" i="1"/>
  <c r="B36" i="1" s="1"/>
  <c r="E33" i="1" s="1"/>
  <c r="B29" i="1"/>
  <c r="B24" i="1"/>
  <c r="E21" i="1" s="1"/>
  <c r="B18" i="1"/>
  <c r="E17" i="1" s="1"/>
  <c r="E8" i="1"/>
  <c r="B60" i="5" l="1"/>
  <c r="E57" i="5" s="1"/>
  <c r="B25" i="4"/>
  <c r="E22" i="4" s="1"/>
  <c r="B37" i="4"/>
  <c r="E34" i="4" s="1"/>
  <c r="B37" i="3"/>
  <c r="E34" i="3" s="1"/>
  <c r="I12" i="4"/>
  <c r="I3" i="4" s="1"/>
  <c r="B53" i="5"/>
  <c r="I12" i="5"/>
  <c r="I3" i="5" s="1"/>
  <c r="B48" i="5"/>
  <c r="E45" i="5" s="1"/>
  <c r="B25" i="3"/>
  <c r="E22" i="3" s="1"/>
  <c r="B30" i="3"/>
  <c r="E28" i="3" s="1"/>
  <c r="B30" i="2"/>
  <c r="B25" i="2"/>
  <c r="B37" i="2"/>
  <c r="E34" i="2" s="1"/>
  <c r="B27" i="1"/>
  <c r="E37" i="3" l="1"/>
  <c r="E31" i="3"/>
  <c r="E10" i="3" s="1"/>
  <c r="E27" i="1"/>
  <c r="E36" i="1" s="1"/>
  <c r="I11" i="3" l="1"/>
  <c r="L6" i="3" s="1"/>
  <c r="E23" i="3" s="1"/>
  <c r="E19" i="3" s="1"/>
  <c r="E17" i="3" s="1"/>
  <c r="E11" i="3" s="1"/>
  <c r="E36" i="3" s="1"/>
  <c r="E35" i="3" s="1"/>
  <c r="E30" i="1"/>
  <c r="E34" i="1" s="1"/>
  <c r="E35" i="1" s="1"/>
  <c r="E38" i="1" s="1"/>
  <c r="I11" i="1" l="1"/>
  <c r="L6" i="1" s="1"/>
  <c r="E22" i="1" s="1"/>
  <c r="E18" i="1" s="1"/>
  <c r="E16" i="1" s="1"/>
  <c r="E10" i="1" s="1"/>
  <c r="E9" i="1"/>
  <c r="I7" i="5"/>
  <c r="I10" i="5" s="1"/>
  <c r="I9" i="5" l="1"/>
  <c r="I8" i="5"/>
  <c r="L3" i="5" s="1"/>
  <c r="L4" i="5" l="1"/>
  <c r="B51" i="5" s="1"/>
  <c r="E51" i="5" s="1"/>
  <c r="E54" i="5" s="1"/>
  <c r="E60" i="5" l="1"/>
  <c r="E10" i="5" s="1"/>
  <c r="I11" i="5"/>
  <c r="L6" i="5" s="1"/>
  <c r="E46" i="5" s="1"/>
  <c r="E42" i="5" s="1"/>
  <c r="E35" i="5" s="1"/>
  <c r="E31" i="5" s="1"/>
  <c r="E24" i="5" s="1"/>
  <c r="E20" i="5" s="1"/>
  <c r="E13" i="5" s="1"/>
  <c r="E11" i="5" s="1"/>
  <c r="E59" i="5" s="1"/>
  <c r="E58" i="5" s="1"/>
  <c r="N6" i="5" l="1"/>
  <c r="L3" i="4"/>
  <c r="L4" i="4"/>
  <c r="I6" i="4"/>
  <c r="L6" i="4"/>
  <c r="I7" i="4"/>
  <c r="I8" i="4"/>
  <c r="I9" i="4"/>
  <c r="E10" i="4"/>
  <c r="I10" i="4"/>
  <c r="E11" i="4"/>
  <c r="I11" i="4"/>
  <c r="E17" i="4"/>
  <c r="E19" i="4"/>
  <c r="E23" i="4"/>
  <c r="I24" i="4"/>
  <c r="B28" i="4"/>
  <c r="E28" i="4"/>
  <c r="E31" i="4"/>
  <c r="E35" i="4"/>
  <c r="E36" i="4"/>
  <c r="E37" i="4"/>
  <c r="L3" i="2"/>
  <c r="L4" i="2"/>
  <c r="I6" i="2"/>
  <c r="L6" i="2"/>
  <c r="I7" i="2"/>
  <c r="I8" i="2"/>
  <c r="I9" i="2"/>
  <c r="E10" i="2"/>
  <c r="I10" i="2"/>
  <c r="E11" i="2"/>
  <c r="I11" i="2"/>
  <c r="E17" i="2"/>
  <c r="E19" i="2"/>
  <c r="E23" i="2"/>
  <c r="B28" i="2"/>
  <c r="E28" i="2"/>
  <c r="E31" i="2"/>
  <c r="E35" i="2"/>
  <c r="E36" i="2"/>
  <c r="E37" i="2"/>
</calcChain>
</file>

<file path=xl/sharedStrings.xml><?xml version="1.0" encoding="utf-8"?>
<sst xmlns="http://schemas.openxmlformats.org/spreadsheetml/2006/main" count="480" uniqueCount="181">
  <si>
    <t>输入条件</t>
    <phoneticPr fontId="1" type="noConversion"/>
  </si>
  <si>
    <t>Q(W)</t>
    <phoneticPr fontId="1" type="noConversion"/>
  </si>
  <si>
    <t>输出结果</t>
    <phoneticPr fontId="1" type="noConversion"/>
  </si>
  <si>
    <t>计算Re的输入参数</t>
    <phoneticPr fontId="1" type="noConversion"/>
  </si>
  <si>
    <t>芯片长（mm）</t>
    <phoneticPr fontId="1" type="noConversion"/>
  </si>
  <si>
    <t>芯片宽（mm）</t>
    <phoneticPr fontId="1" type="noConversion"/>
  </si>
  <si>
    <t>芯片高（mm）</t>
    <phoneticPr fontId="1" type="noConversion"/>
  </si>
  <si>
    <t>材料热导率（W/m·K）</t>
    <phoneticPr fontId="1" type="noConversion"/>
  </si>
  <si>
    <t>材料层厚度（mm）</t>
    <phoneticPr fontId="1" type="noConversion"/>
  </si>
  <si>
    <t>材料的当量导热面积（mm²）</t>
    <phoneticPr fontId="1" type="noConversion"/>
  </si>
  <si>
    <t>计算Rc1的输入参数</t>
    <phoneticPr fontId="1" type="noConversion"/>
  </si>
  <si>
    <t>空气热导率（W/m·K）</t>
    <phoneticPr fontId="1" type="noConversion"/>
  </si>
  <si>
    <t>计算R0的输入参数</t>
    <phoneticPr fontId="1" type="noConversion"/>
  </si>
  <si>
    <t>空气速度（m/s）</t>
    <phoneticPr fontId="1" type="noConversion"/>
  </si>
  <si>
    <t>当量对流面积（mm²）</t>
    <phoneticPr fontId="1" type="noConversion"/>
  </si>
  <si>
    <t>空气的对流换热系数（W/m²·K）</t>
    <phoneticPr fontId="1" type="noConversion"/>
  </si>
  <si>
    <r>
      <t>T</t>
    </r>
    <r>
      <rPr>
        <vertAlign val="subscript"/>
        <sz val="11"/>
        <color theme="1"/>
        <rFont val="等线"/>
        <family val="3"/>
        <charset val="134"/>
        <scheme val="minor"/>
      </rPr>
      <t>e-0</t>
    </r>
    <phoneticPr fontId="1" type="noConversion"/>
  </si>
  <si>
    <r>
      <t>T</t>
    </r>
    <r>
      <rPr>
        <vertAlign val="subscript"/>
        <sz val="11"/>
        <color theme="1"/>
        <rFont val="等线"/>
        <family val="2"/>
        <scheme val="minor"/>
      </rPr>
      <t>c1</t>
    </r>
    <r>
      <rPr>
        <vertAlign val="subscript"/>
        <sz val="11"/>
        <color theme="1"/>
        <rFont val="等线"/>
        <family val="3"/>
        <charset val="134"/>
        <scheme val="minor"/>
      </rPr>
      <t>-e</t>
    </r>
    <phoneticPr fontId="1" type="noConversion"/>
  </si>
  <si>
    <r>
      <rPr>
        <sz val="11"/>
        <color theme="1"/>
        <rFont val="Times New Roman"/>
        <family val="1"/>
      </rPr>
      <t>T</t>
    </r>
    <r>
      <rPr>
        <vertAlign val="subscript"/>
        <sz val="11"/>
        <color theme="1"/>
        <rFont val="Times New Roman"/>
        <family val="1"/>
      </rPr>
      <t>0</t>
    </r>
    <r>
      <rPr>
        <sz val="11"/>
        <color theme="1"/>
        <rFont val="等线"/>
        <family val="2"/>
        <scheme val="minor"/>
      </rPr>
      <t>（℃）</t>
    </r>
    <phoneticPr fontId="1" type="noConversion"/>
  </si>
  <si>
    <r>
      <t>T</t>
    </r>
    <r>
      <rPr>
        <vertAlign val="subscript"/>
        <sz val="11"/>
        <color theme="1"/>
        <rFont val="等线"/>
        <family val="3"/>
        <charset val="134"/>
        <scheme val="minor"/>
      </rPr>
      <t>0</t>
    </r>
    <r>
      <rPr>
        <sz val="11"/>
        <color theme="1"/>
        <rFont val="等线"/>
        <family val="3"/>
        <charset val="134"/>
        <scheme val="minor"/>
      </rPr>
      <t>（℃）</t>
    </r>
    <phoneticPr fontId="1" type="noConversion"/>
  </si>
  <si>
    <r>
      <t>T</t>
    </r>
    <r>
      <rPr>
        <vertAlign val="subscript"/>
        <sz val="11"/>
        <color theme="1"/>
        <rFont val="等线"/>
        <family val="2"/>
        <scheme val="minor"/>
      </rPr>
      <t>c1</t>
    </r>
    <r>
      <rPr>
        <vertAlign val="subscript"/>
        <sz val="11"/>
        <color theme="1"/>
        <rFont val="等线"/>
        <family val="3"/>
        <charset val="134"/>
        <scheme val="minor"/>
      </rPr>
      <t>-j</t>
    </r>
    <phoneticPr fontId="1" type="noConversion"/>
  </si>
  <si>
    <t>Rjc（℃/W）</t>
    <phoneticPr fontId="1" type="noConversion"/>
  </si>
  <si>
    <t>Rjb（℃/W）</t>
    <phoneticPr fontId="1" type="noConversion"/>
  </si>
  <si>
    <t>最高结温Tjunction（℃）</t>
    <phoneticPr fontId="1" type="noConversion"/>
  </si>
  <si>
    <r>
      <t>计算结温Tj</t>
    </r>
    <r>
      <rPr>
        <sz val="11"/>
        <color theme="1"/>
        <rFont val="等线"/>
        <family val="3"/>
        <charset val="134"/>
        <scheme val="minor"/>
      </rPr>
      <t>（℃）</t>
    </r>
    <phoneticPr fontId="1" type="noConversion"/>
  </si>
  <si>
    <r>
      <t>计算R</t>
    </r>
    <r>
      <rPr>
        <vertAlign val="subscript"/>
        <sz val="11"/>
        <color theme="1"/>
        <rFont val="等线"/>
        <family val="3"/>
        <charset val="134"/>
        <scheme val="minor"/>
      </rPr>
      <t>b</t>
    </r>
    <r>
      <rPr>
        <sz val="11"/>
        <color theme="1"/>
        <rFont val="等线"/>
        <family val="2"/>
        <scheme val="minor"/>
      </rPr>
      <t>的输入参数</t>
    </r>
    <phoneticPr fontId="1" type="noConversion"/>
  </si>
  <si>
    <t>发热量占比</t>
    <phoneticPr fontId="1" type="noConversion"/>
  </si>
  <si>
    <t>材料层导热截面积（mm²）</t>
    <phoneticPr fontId="1" type="noConversion"/>
  </si>
  <si>
    <t>当量导热截面积（mm²）</t>
    <phoneticPr fontId="1" type="noConversion"/>
  </si>
  <si>
    <t>对流表面积（mm²）</t>
    <phoneticPr fontId="1" type="noConversion"/>
  </si>
  <si>
    <t>计算值Rjc（℃/W）</t>
    <phoneticPr fontId="1" type="noConversion"/>
  </si>
  <si>
    <t>计算值Rjb（℃/W）</t>
    <phoneticPr fontId="1" type="noConversion"/>
  </si>
  <si>
    <r>
      <t>R</t>
    </r>
    <r>
      <rPr>
        <vertAlign val="subscript"/>
        <sz val="11"/>
        <color theme="1"/>
        <rFont val="等线"/>
        <family val="3"/>
        <charset val="134"/>
        <scheme val="minor"/>
      </rPr>
      <t>e（℃/W）</t>
    </r>
    <phoneticPr fontId="1" type="noConversion"/>
  </si>
  <si>
    <t>下表面路径热阻R2（℃/W）</t>
    <phoneticPr fontId="1" type="noConversion"/>
  </si>
  <si>
    <r>
      <t>R</t>
    </r>
    <r>
      <rPr>
        <vertAlign val="subscript"/>
        <sz val="11"/>
        <color theme="1"/>
        <rFont val="等线"/>
        <family val="3"/>
        <charset val="134"/>
        <scheme val="minor"/>
      </rPr>
      <t>0</t>
    </r>
    <r>
      <rPr>
        <sz val="11"/>
        <color theme="1"/>
        <rFont val="等线"/>
        <family val="2"/>
        <scheme val="minor"/>
      </rPr>
      <t>（℃/W）</t>
    </r>
    <phoneticPr fontId="1" type="noConversion"/>
  </si>
  <si>
    <r>
      <t>R</t>
    </r>
    <r>
      <rPr>
        <vertAlign val="subscript"/>
        <sz val="11"/>
        <color theme="1"/>
        <rFont val="等线"/>
        <family val="3"/>
        <charset val="134"/>
        <scheme val="minor"/>
      </rPr>
      <t>c1</t>
    </r>
    <r>
      <rPr>
        <sz val="11"/>
        <color theme="1"/>
        <rFont val="等线"/>
        <family val="2"/>
        <scheme val="minor"/>
      </rPr>
      <t>（℃/W）</t>
    </r>
    <phoneticPr fontId="1" type="noConversion"/>
  </si>
  <si>
    <t>（未提供2热阻的情况下提供）芯片材料热导率（W/m·℃）</t>
    <phoneticPr fontId="1" type="noConversion"/>
  </si>
  <si>
    <t>空气层厚度（mm）</t>
    <phoneticPr fontId="1" type="noConversion"/>
  </si>
  <si>
    <t>空气层接触面积（mm²）</t>
    <phoneticPr fontId="1" type="noConversion"/>
  </si>
  <si>
    <t>该厚度与芯片表面附着材料的工艺有关系，此值为估算，不准确</t>
    <phoneticPr fontId="1" type="noConversion"/>
  </si>
  <si>
    <t>总热阻（℃/W）</t>
    <phoneticPr fontId="1" type="noConversion"/>
  </si>
  <si>
    <t>常壁温外掠平板平均换热计算</t>
    <phoneticPr fontId="1" type="noConversion"/>
  </si>
  <si>
    <t>特征尺寸x（m）</t>
    <phoneticPr fontId="1" type="noConversion"/>
  </si>
  <si>
    <r>
      <t>Rex（层流湍流的Re分界线10</t>
    </r>
    <r>
      <rPr>
        <vertAlign val="superscript"/>
        <sz val="11"/>
        <color theme="1"/>
        <rFont val="等线"/>
        <family val="3"/>
        <charset val="134"/>
        <scheme val="minor"/>
      </rPr>
      <t>5</t>
    </r>
    <r>
      <rPr>
        <sz val="11"/>
        <color theme="1"/>
        <rFont val="等线"/>
        <family val="2"/>
        <scheme val="minor"/>
      </rPr>
      <t>）</t>
    </r>
    <phoneticPr fontId="1" type="noConversion"/>
  </si>
  <si>
    <r>
      <t>主流速度u</t>
    </r>
    <r>
      <rPr>
        <vertAlign val="subscript"/>
        <sz val="11"/>
        <color theme="1"/>
        <rFont val="等线"/>
        <family val="3"/>
        <charset val="134"/>
        <scheme val="minor"/>
      </rPr>
      <t>∞</t>
    </r>
    <r>
      <rPr>
        <sz val="11"/>
        <color theme="1"/>
        <rFont val="等线"/>
        <family val="3"/>
        <charset val="134"/>
        <scheme val="minor"/>
      </rPr>
      <t>（m/s）</t>
    </r>
    <phoneticPr fontId="1" type="noConversion"/>
  </si>
  <si>
    <t>平均对流换热系数</t>
    <phoneticPr fontId="1" type="noConversion"/>
  </si>
  <si>
    <t>环境温度T0（℃）</t>
    <phoneticPr fontId="1" type="noConversion"/>
  </si>
  <si>
    <t>假设壁温Tw（℃）</t>
    <phoneticPr fontId="1" type="noConversion"/>
  </si>
  <si>
    <t>需要和计算壁温吻合，两者差越小越准确（1℃以内）</t>
    <phoneticPr fontId="1" type="noConversion"/>
  </si>
  <si>
    <t>计算壁温Tw（℃）</t>
  </si>
  <si>
    <t>特征温度tm（℃）</t>
    <phoneticPr fontId="1" type="noConversion"/>
  </si>
  <si>
    <t>运动粘度（m²/s）</t>
    <phoneticPr fontId="1" type="noConversion"/>
  </si>
  <si>
    <t>查表</t>
    <phoneticPr fontId="1" type="noConversion"/>
  </si>
  <si>
    <t>流体热导率（W/m*K）</t>
    <phoneticPr fontId="1" type="noConversion"/>
  </si>
  <si>
    <t>Pr</t>
    <phoneticPr fontId="1" type="noConversion"/>
  </si>
  <si>
    <t>等效换热面积（m²）</t>
    <phoneticPr fontId="1" type="noConversion"/>
  </si>
  <si>
    <t>备注</t>
    <phoneticPr fontId="1" type="noConversion"/>
  </si>
  <si>
    <t>热阻分析法计算芯片结温</t>
    <phoneticPr fontId="1" type="noConversion"/>
  </si>
  <si>
    <r>
      <t>R</t>
    </r>
    <r>
      <rPr>
        <vertAlign val="subscript"/>
        <sz val="11"/>
        <color theme="1"/>
        <rFont val="等线"/>
        <family val="3"/>
        <charset val="134"/>
        <scheme val="minor"/>
      </rPr>
      <t>b</t>
    </r>
    <r>
      <rPr>
        <sz val="11"/>
        <color theme="1"/>
        <rFont val="等线"/>
        <family val="3"/>
        <charset val="134"/>
        <scheme val="minor"/>
      </rPr>
      <t>（℃/W）</t>
    </r>
    <phoneticPr fontId="1" type="noConversion"/>
  </si>
  <si>
    <r>
      <t>T</t>
    </r>
    <r>
      <rPr>
        <vertAlign val="subscript"/>
        <sz val="11"/>
        <color theme="1"/>
        <rFont val="等线"/>
        <family val="3"/>
        <charset val="134"/>
        <scheme val="minor"/>
      </rPr>
      <t>b-0</t>
    </r>
    <phoneticPr fontId="1" type="noConversion"/>
  </si>
  <si>
    <t>上表面路径热阻R1（℃/W）</t>
    <phoneticPr fontId="1" type="noConversion"/>
  </si>
  <si>
    <t>Tj(板侧计算)</t>
    <phoneticPr fontId="1" type="noConversion"/>
  </si>
  <si>
    <t>按热阻加权比例换热量Q(W)</t>
    <phoneticPr fontId="1" type="noConversion"/>
  </si>
  <si>
    <t>U1300结温</t>
    <phoneticPr fontId="1" type="noConversion"/>
  </si>
  <si>
    <t>温度位置</t>
    <phoneticPr fontId="1" type="noConversion"/>
  </si>
  <si>
    <t>热阻分析法（℃）</t>
    <phoneticPr fontId="1" type="noConversion"/>
  </si>
  <si>
    <t>热阻分析法相对热仿真结果的偏差（用℃计算）</t>
    <phoneticPr fontId="1" type="noConversion"/>
  </si>
  <si>
    <t>热阻分析法相对热仿真结果的偏差（用K计算）</t>
    <phoneticPr fontId="1" type="noConversion"/>
  </si>
  <si>
    <t>F1单层板ODB++文件导入模型热仿真结果（℃）</t>
    <phoneticPr fontId="1" type="noConversion"/>
  </si>
  <si>
    <t>F1单层板简化基板模型热仿真结果（℃）</t>
    <phoneticPr fontId="1" type="noConversion"/>
  </si>
  <si>
    <r>
      <t>芯片上表面T</t>
    </r>
    <r>
      <rPr>
        <vertAlign val="subscript"/>
        <sz val="11"/>
        <color theme="1"/>
        <rFont val="等线"/>
        <family val="2"/>
        <scheme val="minor"/>
      </rPr>
      <t>c1</t>
    </r>
    <r>
      <rPr>
        <vertAlign val="subscript"/>
        <sz val="11"/>
        <color theme="1"/>
        <rFont val="等线"/>
        <family val="3"/>
        <charset val="134"/>
        <scheme val="minor"/>
      </rPr>
      <t>-j</t>
    </r>
    <phoneticPr fontId="1" type="noConversion"/>
  </si>
  <si>
    <r>
      <t>环氧树脂上表面T</t>
    </r>
    <r>
      <rPr>
        <vertAlign val="subscript"/>
        <sz val="11"/>
        <color theme="1"/>
        <rFont val="等线"/>
        <family val="3"/>
        <charset val="134"/>
        <scheme val="minor"/>
      </rPr>
      <t>e-0</t>
    </r>
    <phoneticPr fontId="1" type="noConversion"/>
  </si>
  <si>
    <r>
      <t>芯片下表面T</t>
    </r>
    <r>
      <rPr>
        <vertAlign val="subscript"/>
        <sz val="11"/>
        <color theme="1"/>
        <rFont val="等线"/>
        <family val="3"/>
        <charset val="134"/>
        <scheme val="minor"/>
      </rPr>
      <t>j-b</t>
    </r>
    <phoneticPr fontId="1" type="noConversion"/>
  </si>
  <si>
    <r>
      <t>T</t>
    </r>
    <r>
      <rPr>
        <vertAlign val="subscript"/>
        <sz val="11"/>
        <color theme="1"/>
        <rFont val="等线"/>
        <family val="3"/>
        <charset val="134"/>
        <scheme val="minor"/>
      </rPr>
      <t>j-b</t>
    </r>
    <phoneticPr fontId="1" type="noConversion"/>
  </si>
  <si>
    <r>
      <t>基板下表面T</t>
    </r>
    <r>
      <rPr>
        <vertAlign val="subscript"/>
        <sz val="11"/>
        <color theme="1"/>
        <rFont val="等线"/>
        <family val="3"/>
        <charset val="134"/>
        <scheme val="minor"/>
      </rPr>
      <t>b-0</t>
    </r>
    <phoneticPr fontId="1" type="noConversion"/>
  </si>
  <si>
    <t>die1400结温</t>
    <phoneticPr fontId="1" type="noConversion"/>
  </si>
  <si>
    <r>
      <rPr>
        <sz val="11"/>
        <color theme="1"/>
        <rFont val="宋体"/>
        <family val="3"/>
        <charset val="134"/>
      </rPr>
      <t>单层基板总发热量</t>
    </r>
    <r>
      <rPr>
        <sz val="11"/>
        <color theme="1"/>
        <rFont val="Times New Roman"/>
        <family val="1"/>
      </rPr>
      <t>Q</t>
    </r>
    <r>
      <rPr>
        <vertAlign val="subscript"/>
        <sz val="11"/>
        <color theme="1"/>
        <rFont val="Times New Roman"/>
        <family val="1"/>
      </rPr>
      <t>T</t>
    </r>
    <phoneticPr fontId="1" type="noConversion"/>
  </si>
  <si>
    <r>
      <rPr>
        <sz val="11"/>
        <color theme="1"/>
        <rFont val="宋体"/>
        <family val="3"/>
        <charset val="134"/>
      </rPr>
      <t>目标芯片发热量</t>
    </r>
    <r>
      <rPr>
        <sz val="11"/>
        <color theme="1"/>
        <rFont val="Times New Roman"/>
        <family val="1"/>
      </rPr>
      <t>Q(W)</t>
    </r>
    <phoneticPr fontId="1" type="noConversion"/>
  </si>
  <si>
    <t>基板表面积(mm²)</t>
    <phoneticPr fontId="1" type="noConversion"/>
  </si>
  <si>
    <t>按热阻加权比例的树脂侧(上表面)换热量Q(W)</t>
    <phoneticPr fontId="1" type="noConversion"/>
  </si>
  <si>
    <t>下表面热阻路径不再从环境开始计算，从Tj开始算</t>
    <phoneticPr fontId="1" type="noConversion"/>
  </si>
  <si>
    <t>假设壁温Tw（℃）(仅影响特征温度和热特性参数的选取)</t>
    <phoneticPr fontId="1" type="noConversion"/>
  </si>
  <si>
    <t>计算结温Tj（℃）</t>
    <phoneticPr fontId="1" type="noConversion"/>
  </si>
  <si>
    <r>
      <t>T</t>
    </r>
    <r>
      <rPr>
        <vertAlign val="subscript"/>
        <sz val="11"/>
        <color rgb="FFFF0000"/>
        <rFont val="等线"/>
        <family val="3"/>
        <charset val="134"/>
        <scheme val="minor"/>
      </rPr>
      <t>c1-e</t>
    </r>
    <phoneticPr fontId="1" type="noConversion"/>
  </si>
  <si>
    <r>
      <t>R</t>
    </r>
    <r>
      <rPr>
        <vertAlign val="subscript"/>
        <sz val="11"/>
        <color rgb="FFFF0000"/>
        <rFont val="等线"/>
        <family val="3"/>
        <charset val="134"/>
        <scheme val="minor"/>
      </rPr>
      <t>e（℃/W）</t>
    </r>
    <phoneticPr fontId="1" type="noConversion"/>
  </si>
  <si>
    <r>
      <t>T</t>
    </r>
    <r>
      <rPr>
        <vertAlign val="subscript"/>
        <sz val="11"/>
        <color rgb="FFFF0000"/>
        <rFont val="等线"/>
        <family val="3"/>
        <charset val="134"/>
        <scheme val="minor"/>
      </rPr>
      <t>e-0</t>
    </r>
    <phoneticPr fontId="1" type="noConversion"/>
  </si>
  <si>
    <r>
      <t>R</t>
    </r>
    <r>
      <rPr>
        <vertAlign val="subscript"/>
        <sz val="11"/>
        <color rgb="FFFF0000"/>
        <rFont val="等线"/>
        <family val="3"/>
        <charset val="134"/>
        <scheme val="minor"/>
      </rPr>
      <t>0</t>
    </r>
    <r>
      <rPr>
        <sz val="11"/>
        <color rgb="FFFF0000"/>
        <rFont val="等线"/>
        <family val="3"/>
        <charset val="134"/>
        <scheme val="minor"/>
      </rPr>
      <t>（℃/W）</t>
    </r>
    <phoneticPr fontId="1" type="noConversion"/>
  </si>
  <si>
    <t>U1204结温</t>
    <phoneticPr fontId="1" type="noConversion"/>
  </si>
  <si>
    <t>干空气的热物理性质</t>
    <phoneticPr fontId="1" type="noConversion"/>
  </si>
  <si>
    <t>温度（℃）</t>
    <phoneticPr fontId="1" type="noConversion"/>
  </si>
  <si>
    <t>运动粘度（m²/s）</t>
    <phoneticPr fontId="1" type="noConversion"/>
  </si>
  <si>
    <t>流体热导率（W/m*K）</t>
  </si>
  <si>
    <t>根据特征温度自动插值计算</t>
    <phoneticPr fontId="1" type="noConversion"/>
  </si>
  <si>
    <t>针对单层基板上单个芯片的热阻分析法计算芯片结温</t>
    <phoneticPr fontId="1" type="noConversion"/>
  </si>
  <si>
    <t>界面材料热导率（W/m·K）</t>
    <phoneticPr fontId="1" type="noConversion"/>
  </si>
  <si>
    <t>界面材料层厚度（mm）</t>
    <phoneticPr fontId="1" type="noConversion"/>
  </si>
  <si>
    <t>界面层接触面积（mm²）</t>
    <phoneticPr fontId="1" type="noConversion"/>
  </si>
  <si>
    <t>通过外掠平板的对流换热系数计算程序计算获得</t>
    <phoneticPr fontId="1" type="noConversion"/>
  </si>
  <si>
    <t>程序自动计算，需要和计算壁温吻合，两者差越小越准确（0.2℃以内）</t>
    <phoneticPr fontId="1" type="noConversion"/>
  </si>
  <si>
    <r>
      <t>R</t>
    </r>
    <r>
      <rPr>
        <vertAlign val="subscript"/>
        <sz val="11"/>
        <color rgb="FFFF0000"/>
        <rFont val="等线"/>
        <family val="3"/>
        <charset val="134"/>
        <scheme val="minor"/>
      </rPr>
      <t>b</t>
    </r>
    <r>
      <rPr>
        <sz val="11"/>
        <color rgb="FFFF0000"/>
        <rFont val="等线"/>
        <family val="3"/>
        <charset val="134"/>
        <scheme val="minor"/>
      </rPr>
      <t>（℃/W）</t>
    </r>
    <phoneticPr fontId="1" type="noConversion"/>
  </si>
  <si>
    <r>
      <t>T</t>
    </r>
    <r>
      <rPr>
        <vertAlign val="subscript"/>
        <sz val="11"/>
        <color rgb="FF0070C0"/>
        <rFont val="等线"/>
        <family val="3"/>
        <charset val="134"/>
        <scheme val="minor"/>
      </rPr>
      <t>b-0</t>
    </r>
    <phoneticPr fontId="1" type="noConversion"/>
  </si>
  <si>
    <r>
      <t>T</t>
    </r>
    <r>
      <rPr>
        <vertAlign val="subscript"/>
        <sz val="11"/>
        <color rgb="FF0070C0"/>
        <rFont val="等线"/>
        <family val="3"/>
        <charset val="134"/>
        <scheme val="minor"/>
      </rPr>
      <t>j-b</t>
    </r>
    <phoneticPr fontId="1" type="noConversion"/>
  </si>
  <si>
    <r>
      <t>T</t>
    </r>
    <r>
      <rPr>
        <vertAlign val="subscript"/>
        <sz val="11"/>
        <color rgb="FF0070C0"/>
        <rFont val="等线"/>
        <family val="3"/>
        <charset val="134"/>
        <scheme val="minor"/>
      </rPr>
      <t>e-0</t>
    </r>
    <phoneticPr fontId="1" type="noConversion"/>
  </si>
  <si>
    <r>
      <t>T</t>
    </r>
    <r>
      <rPr>
        <vertAlign val="subscript"/>
        <sz val="11"/>
        <color rgb="FF0070C0"/>
        <rFont val="等线"/>
        <family val="3"/>
        <charset val="134"/>
        <scheme val="minor"/>
      </rPr>
      <t>c1-e</t>
    </r>
    <phoneticPr fontId="1" type="noConversion"/>
  </si>
  <si>
    <r>
      <t>R</t>
    </r>
    <r>
      <rPr>
        <vertAlign val="subscript"/>
        <sz val="11"/>
        <color rgb="FFFF0000"/>
        <rFont val="等线"/>
        <family val="3"/>
        <charset val="134"/>
        <scheme val="minor"/>
      </rPr>
      <t>c1</t>
    </r>
    <r>
      <rPr>
        <sz val="11"/>
        <color rgb="FFFF0000"/>
        <rFont val="等线"/>
        <family val="3"/>
        <charset val="134"/>
        <scheme val="minor"/>
      </rPr>
      <t>（℃/W）</t>
    </r>
    <phoneticPr fontId="1" type="noConversion"/>
  </si>
  <si>
    <r>
      <t>T</t>
    </r>
    <r>
      <rPr>
        <vertAlign val="subscript"/>
        <sz val="11"/>
        <color theme="4" tint="-0.249977111117893"/>
        <rFont val="等线"/>
        <family val="3"/>
        <charset val="134"/>
        <scheme val="minor"/>
      </rPr>
      <t>c1-j</t>
    </r>
    <phoneticPr fontId="1" type="noConversion"/>
  </si>
  <si>
    <t>上表面路径热阻之和R1（℃/W）</t>
    <phoneticPr fontId="1" type="noConversion"/>
  </si>
  <si>
    <t>下表面路径热阻之和R2（℃/W）</t>
    <phoneticPr fontId="1" type="noConversion"/>
  </si>
  <si>
    <t xml:space="preserve">备注：1、输入栏里灰色填充的表格不需要手动输入，根据程序自动计算；
2、浅蓝色填充的数据为根据空气热物性表格计算获得的结果；
3、输出结果栏里，红色字体为输出的热阻计算结果，蓝色字体对应热阻节点的温度计算结果
</t>
    <phoneticPr fontId="1" type="noConversion"/>
  </si>
  <si>
    <t>若初始有值，则程序自动计算，需要和计算壁温吻合，两者差越小越准确（0.2℃以内）</t>
    <phoneticPr fontId="1" type="noConversion"/>
  </si>
  <si>
    <r>
      <t xml:space="preserve">使用说明：1、输入栏里仅需要输入白色底表格里对应的数据，灰色填充的表格不需要手动输入，根据程序自动计算；
2、浅蓝色填充的数据为根据空气热物性表格计算获得的结果；
3、输出结果栏里，红色字体为输出的热阻计算结果，蓝色字体对应热阻节点的温度计算结果
</t>
    </r>
    <r>
      <rPr>
        <sz val="11"/>
        <color rgb="FFFF0000"/>
        <rFont val="等线"/>
        <family val="3"/>
        <charset val="134"/>
        <scheme val="minor"/>
      </rPr>
      <t>4、计算中，主流速度和环境温度直接改动输入的数值，不要将原有的数值删除（否则会造成假设壁温的计算错误）。</t>
    </r>
    <r>
      <rPr>
        <sz val="11"/>
        <rFont val="等线"/>
        <family val="3"/>
        <charset val="134"/>
        <scheme val="minor"/>
      </rPr>
      <t>若假设壁温的值I6为错误，则对流换热系数不能正常计算输出。此时需要把假设壁温I6一栏里的公式复制出来，然后手动输入某个温度值之后（可以输入环境温度），再把复制的公式粘贴回该单元格，即可正常实施迭代计算。由此实现了手动输入初值，之后自动迭代计算的功能。</t>
    </r>
    <r>
      <rPr>
        <sz val="11"/>
        <color theme="1"/>
        <rFont val="等线"/>
        <family val="2"/>
        <scheme val="minor"/>
      </rPr>
      <t xml:space="preserve">
</t>
    </r>
    <phoneticPr fontId="1" type="noConversion"/>
  </si>
  <si>
    <r>
      <rPr>
        <sz val="11"/>
        <color theme="1"/>
        <rFont val="等线"/>
        <family val="2"/>
      </rPr>
      <t>环境空气温度</t>
    </r>
    <r>
      <rPr>
        <sz val="11"/>
        <color theme="1"/>
        <rFont val="Times New Roman"/>
        <family val="1"/>
      </rPr>
      <t>T</t>
    </r>
    <r>
      <rPr>
        <vertAlign val="subscript"/>
        <sz val="11"/>
        <color theme="1"/>
        <rFont val="Times New Roman"/>
        <family val="1"/>
      </rPr>
      <t>0</t>
    </r>
    <r>
      <rPr>
        <sz val="11"/>
        <color theme="1"/>
        <rFont val="等线"/>
        <family val="2"/>
        <scheme val="minor"/>
      </rPr>
      <t>（℃）</t>
    </r>
    <phoneticPr fontId="1" type="noConversion"/>
  </si>
  <si>
    <t>芯片的结节-上盖热阻Rjc（℃/W）</t>
    <phoneticPr fontId="1" type="noConversion"/>
  </si>
  <si>
    <t>芯片的结节-基板热阻Rjb（℃/W）</t>
    <phoneticPr fontId="1" type="noConversion"/>
  </si>
  <si>
    <t>芯片结节的最高许用温度Tjmax（℃）</t>
    <phoneticPr fontId="1" type="noConversion"/>
  </si>
  <si>
    <r>
      <rPr>
        <sz val="11"/>
        <color theme="1"/>
        <rFont val="等线"/>
        <family val="1"/>
      </rPr>
      <t>空气来流速度</t>
    </r>
    <r>
      <rPr>
        <sz val="11"/>
        <color theme="1"/>
        <rFont val="Times New Roman"/>
        <family val="1"/>
      </rPr>
      <t>v</t>
    </r>
    <r>
      <rPr>
        <vertAlign val="subscript"/>
        <sz val="11"/>
        <color theme="1"/>
        <rFont val="Times New Roman"/>
        <family val="1"/>
      </rPr>
      <t>0</t>
    </r>
    <r>
      <rPr>
        <sz val="11"/>
        <color theme="1"/>
        <rFont val="等线"/>
        <family val="1"/>
      </rPr>
      <t>（</t>
    </r>
    <r>
      <rPr>
        <sz val="11"/>
        <color theme="1"/>
        <rFont val="Times New Roman"/>
        <family val="1"/>
      </rPr>
      <t>m/s</t>
    </r>
    <r>
      <rPr>
        <sz val="11"/>
        <color theme="1"/>
        <rFont val="等线"/>
        <family val="1"/>
      </rPr>
      <t>）</t>
    </r>
    <phoneticPr fontId="1" type="noConversion"/>
  </si>
  <si>
    <t>界面材料TIM1的输入参数</t>
    <phoneticPr fontId="1" type="noConversion"/>
  </si>
  <si>
    <t>材料1的输入参数</t>
    <phoneticPr fontId="1" type="noConversion"/>
  </si>
  <si>
    <t>空气对流热阻R0的输入参数</t>
    <phoneticPr fontId="1" type="noConversion"/>
  </si>
  <si>
    <r>
      <t>界面材料1的热导率λ</t>
    </r>
    <r>
      <rPr>
        <vertAlign val="subscript"/>
        <sz val="11"/>
        <color theme="1"/>
        <rFont val="等线"/>
        <family val="3"/>
        <charset val="134"/>
        <scheme val="minor"/>
      </rPr>
      <t>TIM1</t>
    </r>
    <r>
      <rPr>
        <sz val="11"/>
        <color theme="1"/>
        <rFont val="等线"/>
        <family val="2"/>
        <scheme val="minor"/>
      </rPr>
      <t>（W/m·K）</t>
    </r>
    <phoneticPr fontId="1" type="noConversion"/>
  </si>
  <si>
    <r>
      <t>界面材料层1的厚度h</t>
    </r>
    <r>
      <rPr>
        <vertAlign val="subscript"/>
        <sz val="11"/>
        <color theme="1"/>
        <rFont val="等线"/>
        <family val="3"/>
        <charset val="134"/>
        <scheme val="minor"/>
      </rPr>
      <t>TIM1</t>
    </r>
    <r>
      <rPr>
        <sz val="11"/>
        <color theme="1"/>
        <rFont val="等线"/>
        <family val="2"/>
        <scheme val="minor"/>
      </rPr>
      <t>（mm）</t>
    </r>
    <phoneticPr fontId="1" type="noConversion"/>
  </si>
  <si>
    <r>
      <t>界面材料层1内侧的接触面积A</t>
    </r>
    <r>
      <rPr>
        <vertAlign val="subscript"/>
        <sz val="11"/>
        <color theme="1"/>
        <rFont val="等线"/>
        <family val="3"/>
        <charset val="134"/>
        <scheme val="minor"/>
      </rPr>
      <t>TIM1</t>
    </r>
    <r>
      <rPr>
        <sz val="11"/>
        <color theme="1"/>
        <rFont val="等线"/>
        <family val="2"/>
        <scheme val="minor"/>
      </rPr>
      <t>（mm²）</t>
    </r>
    <phoneticPr fontId="1" type="noConversion"/>
  </si>
  <si>
    <r>
      <t>材料1的热导率λ</t>
    </r>
    <r>
      <rPr>
        <vertAlign val="subscript"/>
        <sz val="11"/>
        <color theme="1"/>
        <rFont val="等线"/>
        <family val="3"/>
        <charset val="134"/>
        <scheme val="minor"/>
      </rPr>
      <t>1</t>
    </r>
    <r>
      <rPr>
        <sz val="11"/>
        <color theme="1"/>
        <rFont val="等线"/>
        <family val="2"/>
        <scheme val="minor"/>
      </rPr>
      <t>（W/m·K）</t>
    </r>
    <phoneticPr fontId="1" type="noConversion"/>
  </si>
  <si>
    <r>
      <t>空气的对流换热系数k</t>
    </r>
    <r>
      <rPr>
        <vertAlign val="subscript"/>
        <sz val="11"/>
        <color theme="1"/>
        <rFont val="等线"/>
        <family val="3"/>
        <charset val="134"/>
        <scheme val="minor"/>
      </rPr>
      <t>0</t>
    </r>
    <r>
      <rPr>
        <sz val="11"/>
        <color theme="1"/>
        <rFont val="等线"/>
        <family val="2"/>
        <scheme val="minor"/>
      </rPr>
      <t>（W/m²·K）</t>
    </r>
    <phoneticPr fontId="1" type="noConversion"/>
  </si>
  <si>
    <r>
      <t>材料</t>
    </r>
    <r>
      <rPr>
        <sz val="11"/>
        <color theme="1"/>
        <rFont val="等线"/>
        <family val="3"/>
        <charset val="134"/>
        <scheme val="minor"/>
      </rPr>
      <t>1的</t>
    </r>
    <r>
      <rPr>
        <sz val="11"/>
        <color theme="1"/>
        <rFont val="等线"/>
        <family val="2"/>
        <scheme val="minor"/>
      </rPr>
      <t>对流换热表面积A</t>
    </r>
    <r>
      <rPr>
        <vertAlign val="subscript"/>
        <sz val="11"/>
        <color theme="1"/>
        <rFont val="等线"/>
        <family val="3"/>
        <charset val="134"/>
        <scheme val="minor"/>
      </rPr>
      <t>0</t>
    </r>
    <r>
      <rPr>
        <sz val="11"/>
        <color theme="1"/>
        <rFont val="等线"/>
        <family val="2"/>
        <scheme val="minor"/>
      </rPr>
      <t>（mm²）</t>
    </r>
    <phoneticPr fontId="1" type="noConversion"/>
  </si>
  <si>
    <r>
      <t>基板材料的热导率λ</t>
    </r>
    <r>
      <rPr>
        <vertAlign val="subscript"/>
        <sz val="11"/>
        <color theme="1"/>
        <rFont val="等线"/>
        <family val="3"/>
        <charset val="134"/>
        <scheme val="minor"/>
      </rPr>
      <t>b</t>
    </r>
    <r>
      <rPr>
        <sz val="11"/>
        <color theme="1"/>
        <rFont val="等线"/>
        <family val="2"/>
        <scheme val="minor"/>
      </rPr>
      <t>（W/m·K）</t>
    </r>
    <phoneticPr fontId="1" type="noConversion"/>
  </si>
  <si>
    <r>
      <t>材料</t>
    </r>
    <r>
      <rPr>
        <sz val="11"/>
        <color theme="1"/>
        <rFont val="等线"/>
        <family val="3"/>
        <charset val="134"/>
        <scheme val="minor"/>
      </rPr>
      <t>1的</t>
    </r>
    <r>
      <rPr>
        <sz val="11"/>
        <color theme="1"/>
        <rFont val="等线"/>
        <family val="2"/>
        <scheme val="minor"/>
      </rPr>
      <t>厚度h</t>
    </r>
    <r>
      <rPr>
        <vertAlign val="subscript"/>
        <sz val="11"/>
        <color theme="1"/>
        <rFont val="等线"/>
        <family val="3"/>
        <charset val="134"/>
        <scheme val="minor"/>
      </rPr>
      <t>1</t>
    </r>
    <r>
      <rPr>
        <sz val="11"/>
        <color theme="1"/>
        <rFont val="等线"/>
        <family val="2"/>
        <scheme val="minor"/>
      </rPr>
      <t>（mm）</t>
    </r>
    <phoneticPr fontId="1" type="noConversion"/>
  </si>
  <si>
    <r>
      <t>材料</t>
    </r>
    <r>
      <rPr>
        <sz val="11"/>
        <color theme="1"/>
        <rFont val="等线"/>
        <family val="3"/>
        <charset val="134"/>
        <scheme val="minor"/>
      </rPr>
      <t>1的</t>
    </r>
    <r>
      <rPr>
        <sz val="11"/>
        <color theme="1"/>
        <rFont val="等线"/>
        <family val="2"/>
        <scheme val="minor"/>
      </rPr>
      <t>导热截面积A</t>
    </r>
    <r>
      <rPr>
        <vertAlign val="subscript"/>
        <sz val="11"/>
        <color theme="1"/>
        <rFont val="等线"/>
        <family val="3"/>
        <charset val="134"/>
        <scheme val="minor"/>
      </rPr>
      <t>1</t>
    </r>
    <r>
      <rPr>
        <sz val="11"/>
        <color theme="1"/>
        <rFont val="等线"/>
        <family val="2"/>
        <scheme val="minor"/>
      </rPr>
      <t>（mm²）</t>
    </r>
    <phoneticPr fontId="1" type="noConversion"/>
  </si>
  <si>
    <r>
      <t>基板的厚度h</t>
    </r>
    <r>
      <rPr>
        <vertAlign val="subscript"/>
        <sz val="11"/>
        <color theme="1"/>
        <rFont val="等线"/>
        <family val="3"/>
        <charset val="134"/>
        <scheme val="minor"/>
      </rPr>
      <t>b</t>
    </r>
    <r>
      <rPr>
        <sz val="11"/>
        <color theme="1"/>
        <rFont val="等线"/>
        <family val="2"/>
        <scheme val="minor"/>
      </rPr>
      <t>（mm）</t>
    </r>
    <phoneticPr fontId="1" type="noConversion"/>
  </si>
  <si>
    <r>
      <t>基板接触空气的表面积A</t>
    </r>
    <r>
      <rPr>
        <vertAlign val="subscript"/>
        <sz val="11"/>
        <color theme="1"/>
        <rFont val="等线"/>
        <family val="3"/>
        <charset val="134"/>
        <scheme val="minor"/>
      </rPr>
      <t>b</t>
    </r>
    <r>
      <rPr>
        <sz val="11"/>
        <color theme="1"/>
        <rFont val="等线"/>
        <family val="2"/>
        <scheme val="minor"/>
      </rPr>
      <t>（mm²）</t>
    </r>
    <phoneticPr fontId="1" type="noConversion"/>
  </si>
  <si>
    <t>芯片结节温度计算值Tj（℃）</t>
    <phoneticPr fontId="1" type="noConversion"/>
  </si>
  <si>
    <r>
      <t>芯片结节向上传热至环境的热阻和R</t>
    </r>
    <r>
      <rPr>
        <vertAlign val="subscript"/>
        <sz val="11"/>
        <color theme="1"/>
        <rFont val="等线"/>
        <family val="3"/>
        <charset val="134"/>
        <scheme val="minor"/>
      </rPr>
      <t>up</t>
    </r>
    <r>
      <rPr>
        <sz val="11"/>
        <color theme="1"/>
        <rFont val="等线"/>
        <family val="2"/>
        <scheme val="minor"/>
      </rPr>
      <t>（℃/W）</t>
    </r>
    <phoneticPr fontId="1" type="noConversion"/>
  </si>
  <si>
    <r>
      <t>芯片结节向下传热至环境的热阻和R</t>
    </r>
    <r>
      <rPr>
        <vertAlign val="subscript"/>
        <sz val="11"/>
        <color theme="1"/>
        <rFont val="等线"/>
        <family val="3"/>
        <charset val="134"/>
        <scheme val="minor"/>
      </rPr>
      <t>down</t>
    </r>
    <r>
      <rPr>
        <sz val="11"/>
        <color theme="1"/>
        <rFont val="等线"/>
        <family val="2"/>
        <scheme val="minor"/>
      </rPr>
      <t>（℃/W）</t>
    </r>
    <phoneticPr fontId="1" type="noConversion"/>
  </si>
  <si>
    <r>
      <t>界面材料1热阻R</t>
    </r>
    <r>
      <rPr>
        <vertAlign val="subscript"/>
        <sz val="11"/>
        <color rgb="FFFF0000"/>
        <rFont val="等线"/>
        <family val="3"/>
        <charset val="134"/>
        <scheme val="minor"/>
      </rPr>
      <t>c1</t>
    </r>
    <r>
      <rPr>
        <sz val="11"/>
        <color rgb="FFFF0000"/>
        <rFont val="等线"/>
        <family val="3"/>
        <charset val="134"/>
        <scheme val="minor"/>
      </rPr>
      <t>（℃/W）</t>
    </r>
    <phoneticPr fontId="1" type="noConversion"/>
  </si>
  <si>
    <r>
      <t>芯片壳体上表面温度T</t>
    </r>
    <r>
      <rPr>
        <vertAlign val="subscript"/>
        <sz val="11"/>
        <color theme="4" tint="-0.249977111117893"/>
        <rFont val="等线"/>
        <family val="3"/>
        <charset val="134"/>
        <scheme val="minor"/>
      </rPr>
      <t>c</t>
    </r>
    <r>
      <rPr>
        <sz val="11"/>
        <color theme="4" tint="-0.249977111117893"/>
        <rFont val="等线"/>
        <family val="3"/>
        <charset val="134"/>
        <scheme val="minor"/>
      </rPr>
      <t>（℃）</t>
    </r>
    <phoneticPr fontId="1" type="noConversion"/>
  </si>
  <si>
    <r>
      <t>材料1热阻R</t>
    </r>
    <r>
      <rPr>
        <vertAlign val="subscript"/>
        <sz val="11"/>
        <color rgb="FFFF0000"/>
        <rFont val="等线"/>
        <family val="3"/>
        <charset val="134"/>
        <scheme val="minor"/>
      </rPr>
      <t>1（℃/W）</t>
    </r>
    <phoneticPr fontId="1" type="noConversion"/>
  </si>
  <si>
    <r>
      <t>对流换热热阻R</t>
    </r>
    <r>
      <rPr>
        <vertAlign val="subscript"/>
        <sz val="11"/>
        <color rgb="FFFF0000"/>
        <rFont val="等线"/>
        <family val="3"/>
        <charset val="134"/>
        <scheme val="minor"/>
      </rPr>
      <t>0</t>
    </r>
    <r>
      <rPr>
        <sz val="11"/>
        <color rgb="FFFF0000"/>
        <rFont val="等线"/>
        <family val="3"/>
        <charset val="134"/>
        <scheme val="minor"/>
      </rPr>
      <t>（℃/W）</t>
    </r>
    <phoneticPr fontId="1" type="noConversion"/>
  </si>
  <si>
    <r>
      <t>环境空气温度T</t>
    </r>
    <r>
      <rPr>
        <vertAlign val="subscript"/>
        <sz val="11"/>
        <color theme="1"/>
        <rFont val="等线"/>
        <family val="3"/>
        <charset val="134"/>
        <scheme val="minor"/>
      </rPr>
      <t>0</t>
    </r>
    <r>
      <rPr>
        <sz val="11"/>
        <color theme="1"/>
        <rFont val="等线"/>
        <family val="3"/>
        <charset val="134"/>
        <scheme val="minor"/>
      </rPr>
      <t>（℃）</t>
    </r>
    <phoneticPr fontId="1" type="noConversion"/>
  </si>
  <si>
    <r>
      <t>基板自身热阻R</t>
    </r>
    <r>
      <rPr>
        <vertAlign val="subscript"/>
        <sz val="11"/>
        <color rgb="FFFF0000"/>
        <rFont val="等线"/>
        <family val="3"/>
        <charset val="134"/>
        <scheme val="minor"/>
      </rPr>
      <t>b</t>
    </r>
    <r>
      <rPr>
        <sz val="11"/>
        <color rgb="FFFF0000"/>
        <rFont val="等线"/>
        <family val="3"/>
        <charset val="134"/>
        <scheme val="minor"/>
      </rPr>
      <t>（℃/W）</t>
    </r>
    <phoneticPr fontId="1" type="noConversion"/>
  </si>
  <si>
    <r>
      <t>基板接触空气的下表面温度T</t>
    </r>
    <r>
      <rPr>
        <vertAlign val="subscript"/>
        <sz val="11"/>
        <color rgb="FF0070C0"/>
        <rFont val="等线"/>
        <family val="3"/>
        <charset val="134"/>
        <scheme val="minor"/>
      </rPr>
      <t>b-0</t>
    </r>
    <r>
      <rPr>
        <sz val="11"/>
        <color rgb="FF0070C0"/>
        <rFont val="等线"/>
        <family val="3"/>
        <charset val="134"/>
        <scheme val="minor"/>
      </rPr>
      <t>（℃）</t>
    </r>
    <phoneticPr fontId="1" type="noConversion"/>
  </si>
  <si>
    <r>
      <t>基板与芯片接触面的温度T</t>
    </r>
    <r>
      <rPr>
        <vertAlign val="subscript"/>
        <sz val="11"/>
        <color rgb="FF0070C0"/>
        <rFont val="等线"/>
        <family val="3"/>
        <charset val="134"/>
        <scheme val="minor"/>
      </rPr>
      <t>j-b</t>
    </r>
    <r>
      <rPr>
        <sz val="11"/>
        <color rgb="FF0070C0"/>
        <rFont val="等线"/>
        <family val="3"/>
        <charset val="134"/>
        <scheme val="minor"/>
      </rPr>
      <t>（℃）</t>
    </r>
    <phoneticPr fontId="1" type="noConversion"/>
  </si>
  <si>
    <t>界面材料TIM2的输入参数</t>
    <phoneticPr fontId="1" type="noConversion"/>
  </si>
  <si>
    <t>材料2的输入参数</t>
    <phoneticPr fontId="1" type="noConversion"/>
  </si>
  <si>
    <r>
      <t>界面材料</t>
    </r>
    <r>
      <rPr>
        <sz val="11"/>
        <color theme="1"/>
        <rFont val="等线"/>
        <family val="3"/>
        <charset val="134"/>
        <scheme val="minor"/>
      </rPr>
      <t>2</t>
    </r>
    <r>
      <rPr>
        <sz val="11"/>
        <color theme="1"/>
        <rFont val="等线"/>
        <family val="2"/>
        <scheme val="minor"/>
      </rPr>
      <t>的热导率λ</t>
    </r>
    <r>
      <rPr>
        <vertAlign val="subscript"/>
        <sz val="11"/>
        <color theme="1"/>
        <rFont val="等线"/>
        <family val="3"/>
        <charset val="134"/>
        <scheme val="minor"/>
      </rPr>
      <t>TIM2</t>
    </r>
    <r>
      <rPr>
        <sz val="11"/>
        <color theme="1"/>
        <rFont val="等线"/>
        <family val="2"/>
        <scheme val="minor"/>
      </rPr>
      <t>（W/m·K）</t>
    </r>
    <phoneticPr fontId="1" type="noConversion"/>
  </si>
  <si>
    <r>
      <t>界面材料层</t>
    </r>
    <r>
      <rPr>
        <sz val="11"/>
        <color theme="1"/>
        <rFont val="等线"/>
        <family val="3"/>
        <charset val="134"/>
        <scheme val="minor"/>
      </rPr>
      <t>2</t>
    </r>
    <r>
      <rPr>
        <sz val="11"/>
        <color theme="1"/>
        <rFont val="等线"/>
        <family val="2"/>
        <scheme val="minor"/>
      </rPr>
      <t>的厚度h</t>
    </r>
    <r>
      <rPr>
        <vertAlign val="subscript"/>
        <sz val="11"/>
        <color theme="1"/>
        <rFont val="等线"/>
        <family val="3"/>
        <charset val="134"/>
        <scheme val="minor"/>
      </rPr>
      <t>TIM2</t>
    </r>
    <r>
      <rPr>
        <sz val="11"/>
        <color theme="1"/>
        <rFont val="等线"/>
        <family val="2"/>
        <scheme val="minor"/>
      </rPr>
      <t>（mm）</t>
    </r>
    <phoneticPr fontId="1" type="noConversion"/>
  </si>
  <si>
    <r>
      <t>界面材料层</t>
    </r>
    <r>
      <rPr>
        <sz val="11"/>
        <color theme="1"/>
        <rFont val="等线"/>
        <family val="3"/>
        <charset val="134"/>
        <scheme val="minor"/>
      </rPr>
      <t>2</t>
    </r>
    <r>
      <rPr>
        <sz val="11"/>
        <color theme="1"/>
        <rFont val="等线"/>
        <family val="2"/>
        <scheme val="minor"/>
      </rPr>
      <t>内侧的接触面积A</t>
    </r>
    <r>
      <rPr>
        <vertAlign val="subscript"/>
        <sz val="11"/>
        <color theme="1"/>
        <rFont val="等线"/>
        <family val="3"/>
        <charset val="134"/>
        <scheme val="minor"/>
      </rPr>
      <t>TIM2</t>
    </r>
    <r>
      <rPr>
        <sz val="11"/>
        <color theme="1"/>
        <rFont val="等线"/>
        <family val="2"/>
        <scheme val="minor"/>
      </rPr>
      <t>（mm²）</t>
    </r>
    <phoneticPr fontId="1" type="noConversion"/>
  </si>
  <si>
    <r>
      <t>材料</t>
    </r>
    <r>
      <rPr>
        <sz val="11"/>
        <color theme="1"/>
        <rFont val="等线"/>
        <family val="3"/>
        <charset val="134"/>
        <scheme val="minor"/>
      </rPr>
      <t>2</t>
    </r>
    <r>
      <rPr>
        <sz val="11"/>
        <color theme="1"/>
        <rFont val="等线"/>
        <family val="2"/>
        <scheme val="minor"/>
      </rPr>
      <t>的热导率λ</t>
    </r>
    <r>
      <rPr>
        <vertAlign val="subscript"/>
        <sz val="11"/>
        <color theme="1"/>
        <rFont val="等线"/>
        <family val="3"/>
        <charset val="134"/>
        <scheme val="minor"/>
      </rPr>
      <t>2</t>
    </r>
    <r>
      <rPr>
        <sz val="11"/>
        <color theme="1"/>
        <rFont val="等线"/>
        <family val="2"/>
        <scheme val="minor"/>
      </rPr>
      <t>（W/m·K）</t>
    </r>
    <phoneticPr fontId="1" type="noConversion"/>
  </si>
  <si>
    <r>
      <t>材料2</t>
    </r>
    <r>
      <rPr>
        <sz val="11"/>
        <color theme="1"/>
        <rFont val="等线"/>
        <family val="3"/>
        <charset val="134"/>
        <scheme val="minor"/>
      </rPr>
      <t>的</t>
    </r>
    <r>
      <rPr>
        <sz val="11"/>
        <color theme="1"/>
        <rFont val="等线"/>
        <family val="2"/>
        <scheme val="minor"/>
      </rPr>
      <t>厚度h</t>
    </r>
    <r>
      <rPr>
        <vertAlign val="subscript"/>
        <sz val="11"/>
        <color theme="1"/>
        <rFont val="等线"/>
        <family val="2"/>
        <scheme val="minor"/>
      </rPr>
      <t>2</t>
    </r>
    <r>
      <rPr>
        <sz val="11"/>
        <color theme="1"/>
        <rFont val="等线"/>
        <family val="2"/>
        <scheme val="minor"/>
      </rPr>
      <t>（mm）</t>
    </r>
    <phoneticPr fontId="1" type="noConversion"/>
  </si>
  <si>
    <t>当量导热截面积1（mm²）</t>
    <phoneticPr fontId="1" type="noConversion"/>
  </si>
  <si>
    <r>
      <t>界面材料2热阻R</t>
    </r>
    <r>
      <rPr>
        <vertAlign val="subscript"/>
        <sz val="11"/>
        <color rgb="FFFF0000"/>
        <rFont val="等线"/>
        <family val="3"/>
        <charset val="134"/>
        <scheme val="minor"/>
      </rPr>
      <t>c2</t>
    </r>
    <r>
      <rPr>
        <sz val="11"/>
        <color rgb="FFFF0000"/>
        <rFont val="等线"/>
        <family val="3"/>
        <charset val="134"/>
        <scheme val="minor"/>
      </rPr>
      <t>（℃/W）</t>
    </r>
    <phoneticPr fontId="1" type="noConversion"/>
  </si>
  <si>
    <r>
      <t>材料2</t>
    </r>
    <r>
      <rPr>
        <sz val="11"/>
        <color theme="1"/>
        <rFont val="等线"/>
        <family val="3"/>
        <charset val="134"/>
        <scheme val="minor"/>
      </rPr>
      <t>的</t>
    </r>
    <r>
      <rPr>
        <sz val="11"/>
        <color theme="1"/>
        <rFont val="等线"/>
        <family val="2"/>
        <scheme val="minor"/>
      </rPr>
      <t>导热截面积A</t>
    </r>
    <r>
      <rPr>
        <vertAlign val="subscript"/>
        <sz val="11"/>
        <color theme="1"/>
        <rFont val="等线"/>
        <family val="2"/>
        <scheme val="minor"/>
      </rPr>
      <t>2</t>
    </r>
    <r>
      <rPr>
        <sz val="11"/>
        <color theme="1"/>
        <rFont val="等线"/>
        <family val="2"/>
        <scheme val="minor"/>
      </rPr>
      <t>（mm²）</t>
    </r>
    <phoneticPr fontId="1" type="noConversion"/>
  </si>
  <si>
    <r>
      <t>材料2热阻R</t>
    </r>
    <r>
      <rPr>
        <vertAlign val="subscript"/>
        <sz val="11"/>
        <color rgb="FFFF0000"/>
        <rFont val="等线"/>
        <family val="3"/>
        <charset val="134"/>
        <scheme val="minor"/>
      </rPr>
      <t>2（℃/W）</t>
    </r>
    <phoneticPr fontId="1" type="noConversion"/>
  </si>
  <si>
    <r>
      <t>材料1与界面材料1接触面温度T</t>
    </r>
    <r>
      <rPr>
        <vertAlign val="subscript"/>
        <sz val="11"/>
        <color rgb="FF0070C0"/>
        <rFont val="等线"/>
        <family val="3"/>
        <charset val="134"/>
        <scheme val="minor"/>
      </rPr>
      <t xml:space="preserve">TIM1-1 </t>
    </r>
    <r>
      <rPr>
        <sz val="11"/>
        <color rgb="FF0070C0"/>
        <rFont val="等线"/>
        <family val="3"/>
        <charset val="134"/>
        <scheme val="minor"/>
      </rPr>
      <t>（℃）</t>
    </r>
    <phoneticPr fontId="1" type="noConversion"/>
  </si>
  <si>
    <r>
      <t>材料2与界面材料1接触面温度T</t>
    </r>
    <r>
      <rPr>
        <vertAlign val="subscript"/>
        <sz val="11"/>
        <color rgb="FF0070C0"/>
        <rFont val="等线"/>
        <family val="3"/>
        <charset val="134"/>
        <scheme val="minor"/>
      </rPr>
      <t>2-TIM1</t>
    </r>
    <r>
      <rPr>
        <sz val="11"/>
        <color rgb="FF0070C0"/>
        <rFont val="等线"/>
        <family val="3"/>
        <charset val="134"/>
        <scheme val="minor"/>
      </rPr>
      <t>（℃）</t>
    </r>
    <phoneticPr fontId="1" type="noConversion"/>
  </si>
  <si>
    <r>
      <t>界面材料2与材料2接触面温度T</t>
    </r>
    <r>
      <rPr>
        <vertAlign val="subscript"/>
        <sz val="11"/>
        <color rgb="FF0070C0"/>
        <rFont val="等线"/>
        <family val="3"/>
        <charset val="134"/>
        <scheme val="minor"/>
      </rPr>
      <t xml:space="preserve">TIM2-2 </t>
    </r>
    <r>
      <rPr>
        <sz val="11"/>
        <color rgb="FF0070C0"/>
        <rFont val="等线"/>
        <family val="3"/>
        <charset val="134"/>
        <scheme val="minor"/>
      </rPr>
      <t>（℃）</t>
    </r>
    <phoneticPr fontId="1" type="noConversion"/>
  </si>
  <si>
    <t>界面材料TIM3的输入参数</t>
    <phoneticPr fontId="1" type="noConversion"/>
  </si>
  <si>
    <t>材料3的输入参数</t>
    <phoneticPr fontId="1" type="noConversion"/>
  </si>
  <si>
    <r>
      <t>界面材料</t>
    </r>
    <r>
      <rPr>
        <sz val="11"/>
        <color theme="1"/>
        <rFont val="等线"/>
        <family val="3"/>
        <charset val="134"/>
        <scheme val="minor"/>
      </rPr>
      <t>3</t>
    </r>
    <r>
      <rPr>
        <sz val="11"/>
        <color theme="1"/>
        <rFont val="等线"/>
        <family val="2"/>
        <scheme val="minor"/>
      </rPr>
      <t>的热导率λ</t>
    </r>
    <r>
      <rPr>
        <vertAlign val="subscript"/>
        <sz val="11"/>
        <color theme="1"/>
        <rFont val="等线"/>
        <family val="3"/>
        <charset val="134"/>
        <scheme val="minor"/>
      </rPr>
      <t>TIM3</t>
    </r>
    <r>
      <rPr>
        <sz val="11"/>
        <color theme="1"/>
        <rFont val="等线"/>
        <family val="2"/>
        <scheme val="minor"/>
      </rPr>
      <t>（W/m·K）</t>
    </r>
    <phoneticPr fontId="1" type="noConversion"/>
  </si>
  <si>
    <r>
      <t>界面材料层3的厚度h</t>
    </r>
    <r>
      <rPr>
        <vertAlign val="subscript"/>
        <sz val="11"/>
        <color theme="1"/>
        <rFont val="等线"/>
        <family val="3"/>
        <charset val="134"/>
        <scheme val="minor"/>
      </rPr>
      <t>TIM3</t>
    </r>
    <r>
      <rPr>
        <sz val="11"/>
        <color theme="1"/>
        <rFont val="等线"/>
        <family val="2"/>
        <scheme val="minor"/>
      </rPr>
      <t>（mm）</t>
    </r>
    <phoneticPr fontId="1" type="noConversion"/>
  </si>
  <si>
    <r>
      <t>界面材料层3内侧的接触面积A</t>
    </r>
    <r>
      <rPr>
        <vertAlign val="subscript"/>
        <sz val="11"/>
        <color theme="1"/>
        <rFont val="等线"/>
        <family val="3"/>
        <charset val="134"/>
        <scheme val="minor"/>
      </rPr>
      <t>TIM3</t>
    </r>
    <r>
      <rPr>
        <sz val="11"/>
        <color theme="1"/>
        <rFont val="等线"/>
        <family val="2"/>
        <scheme val="minor"/>
      </rPr>
      <t>（mm²）</t>
    </r>
    <phoneticPr fontId="1" type="noConversion"/>
  </si>
  <si>
    <r>
      <t>界面材料3与材料3接触面温度T</t>
    </r>
    <r>
      <rPr>
        <vertAlign val="subscript"/>
        <sz val="11"/>
        <color rgb="FF0070C0"/>
        <rFont val="等线"/>
        <family val="3"/>
        <charset val="134"/>
        <scheme val="minor"/>
      </rPr>
      <t xml:space="preserve">TIM3-3 </t>
    </r>
    <r>
      <rPr>
        <sz val="11"/>
        <color rgb="FF0070C0"/>
        <rFont val="等线"/>
        <family val="3"/>
        <charset val="134"/>
        <scheme val="minor"/>
      </rPr>
      <t>（℃）</t>
    </r>
    <phoneticPr fontId="1" type="noConversion"/>
  </si>
  <si>
    <r>
      <t>界面材料3热阻R</t>
    </r>
    <r>
      <rPr>
        <vertAlign val="subscript"/>
        <sz val="11"/>
        <color rgb="FFFF0000"/>
        <rFont val="等线"/>
        <family val="3"/>
        <charset val="134"/>
        <scheme val="minor"/>
      </rPr>
      <t>c3</t>
    </r>
    <r>
      <rPr>
        <sz val="11"/>
        <color rgb="FFFF0000"/>
        <rFont val="等线"/>
        <family val="3"/>
        <charset val="134"/>
        <scheme val="minor"/>
      </rPr>
      <t>（℃/W）</t>
    </r>
    <phoneticPr fontId="1" type="noConversion"/>
  </si>
  <si>
    <r>
      <t>材料3热阻R</t>
    </r>
    <r>
      <rPr>
        <vertAlign val="subscript"/>
        <sz val="11"/>
        <color rgb="FFFF0000"/>
        <rFont val="等线"/>
        <family val="3"/>
        <charset val="134"/>
        <scheme val="minor"/>
      </rPr>
      <t>3（℃/W）</t>
    </r>
    <phoneticPr fontId="1" type="noConversion"/>
  </si>
  <si>
    <r>
      <t>材料3与界面材料2接触面温度T</t>
    </r>
    <r>
      <rPr>
        <vertAlign val="subscript"/>
        <sz val="11"/>
        <color rgb="FF0070C0"/>
        <rFont val="等线"/>
        <family val="3"/>
        <charset val="134"/>
        <scheme val="minor"/>
      </rPr>
      <t>3-TIM2</t>
    </r>
    <r>
      <rPr>
        <sz val="11"/>
        <color rgb="FF0070C0"/>
        <rFont val="等线"/>
        <family val="3"/>
        <charset val="134"/>
        <scheme val="minor"/>
      </rPr>
      <t>（℃）</t>
    </r>
    <phoneticPr fontId="1" type="noConversion"/>
  </si>
  <si>
    <r>
      <t>材料</t>
    </r>
    <r>
      <rPr>
        <sz val="11"/>
        <color theme="1"/>
        <rFont val="等线"/>
        <family val="3"/>
        <charset val="134"/>
        <scheme val="minor"/>
      </rPr>
      <t>3</t>
    </r>
    <r>
      <rPr>
        <sz val="11"/>
        <color theme="1"/>
        <rFont val="等线"/>
        <family val="2"/>
        <scheme val="minor"/>
      </rPr>
      <t>的热导率λ</t>
    </r>
    <r>
      <rPr>
        <vertAlign val="subscript"/>
        <sz val="11"/>
        <color theme="1"/>
        <rFont val="等线"/>
        <family val="3"/>
        <charset val="134"/>
        <scheme val="minor"/>
      </rPr>
      <t>3</t>
    </r>
    <r>
      <rPr>
        <sz val="11"/>
        <color theme="1"/>
        <rFont val="等线"/>
        <family val="2"/>
        <scheme val="minor"/>
      </rPr>
      <t>（W/m·K）</t>
    </r>
    <phoneticPr fontId="1" type="noConversion"/>
  </si>
  <si>
    <r>
      <t>材料3</t>
    </r>
    <r>
      <rPr>
        <sz val="11"/>
        <color theme="1"/>
        <rFont val="等线"/>
        <family val="3"/>
        <charset val="134"/>
        <scheme val="minor"/>
      </rPr>
      <t>的</t>
    </r>
    <r>
      <rPr>
        <sz val="11"/>
        <color theme="1"/>
        <rFont val="等线"/>
        <family val="2"/>
        <scheme val="minor"/>
      </rPr>
      <t>厚度h</t>
    </r>
    <r>
      <rPr>
        <vertAlign val="subscript"/>
        <sz val="11"/>
        <color theme="1"/>
        <rFont val="等线"/>
        <family val="2"/>
        <scheme val="minor"/>
      </rPr>
      <t>3</t>
    </r>
    <r>
      <rPr>
        <sz val="11"/>
        <color theme="1"/>
        <rFont val="等线"/>
        <family val="2"/>
        <scheme val="minor"/>
      </rPr>
      <t>（mm）</t>
    </r>
    <phoneticPr fontId="1" type="noConversion"/>
  </si>
  <si>
    <r>
      <t>材料3</t>
    </r>
    <r>
      <rPr>
        <sz val="11"/>
        <color theme="1"/>
        <rFont val="等线"/>
        <family val="3"/>
        <charset val="134"/>
        <scheme val="minor"/>
      </rPr>
      <t>的</t>
    </r>
    <r>
      <rPr>
        <sz val="11"/>
        <color theme="1"/>
        <rFont val="等线"/>
        <family val="2"/>
        <scheme val="minor"/>
      </rPr>
      <t>导热截面积A</t>
    </r>
    <r>
      <rPr>
        <vertAlign val="subscript"/>
        <sz val="11"/>
        <color theme="1"/>
        <rFont val="等线"/>
        <family val="2"/>
        <scheme val="minor"/>
      </rPr>
      <t>3</t>
    </r>
    <r>
      <rPr>
        <sz val="11"/>
        <color theme="1"/>
        <rFont val="等线"/>
        <family val="2"/>
        <scheme val="minor"/>
      </rPr>
      <t>（mm²）</t>
    </r>
    <phoneticPr fontId="1" type="noConversion"/>
  </si>
  <si>
    <t>芯片的结节-上盖热阻计算值Rjb（℃/W）</t>
    <phoneticPr fontId="1" type="noConversion"/>
  </si>
  <si>
    <r>
      <t>接触环境空气的材料1表面温度T</t>
    </r>
    <r>
      <rPr>
        <vertAlign val="subscript"/>
        <sz val="11"/>
        <color rgb="FF0070C0"/>
        <rFont val="等线"/>
        <family val="3"/>
        <charset val="134"/>
        <scheme val="minor"/>
      </rPr>
      <t xml:space="preserve">1-0 </t>
    </r>
    <r>
      <rPr>
        <sz val="11"/>
        <color rgb="FF0070C0"/>
        <rFont val="等线"/>
        <family val="3"/>
        <charset val="134"/>
        <scheme val="minor"/>
      </rPr>
      <t>（℃）</t>
    </r>
  </si>
  <si>
    <t>2023.7.27更新说明：
1、规范了各变量的名称及符号；
2、增加了材料层2、界面材料层2、材料层3、界面材料层3，可以分析在芯片外壳和环境空气之间具有三层材料的微系统传热热阻及节点温度；
3、增加了示意图；
4、计算公式发生了变化的单元格底色标黄</t>
    <phoneticPr fontId="1" type="noConversion"/>
  </si>
  <si>
    <r>
      <rPr>
        <sz val="11"/>
        <color theme="1"/>
        <rFont val="宋体"/>
        <family val="3"/>
        <charset val="134"/>
      </rPr>
      <t>单层基板上所有芯片的总发热量</t>
    </r>
    <r>
      <rPr>
        <sz val="11"/>
        <color theme="1"/>
        <rFont val="Times New Roman"/>
        <family val="1"/>
      </rPr>
      <t>Q</t>
    </r>
    <r>
      <rPr>
        <vertAlign val="subscript"/>
        <sz val="11"/>
        <color theme="1"/>
        <rFont val="Times New Roman"/>
        <family val="1"/>
      </rPr>
      <t>T</t>
    </r>
    <r>
      <rPr>
        <sz val="11"/>
        <color theme="1"/>
        <rFont val="等线 Light"/>
        <family val="3"/>
        <charset val="134"/>
      </rPr>
      <t>（</t>
    </r>
    <r>
      <rPr>
        <sz val="11"/>
        <color theme="1"/>
        <rFont val="Times New Roman"/>
        <family val="1"/>
      </rPr>
      <t>W</t>
    </r>
    <r>
      <rPr>
        <sz val="11"/>
        <color theme="1"/>
        <rFont val="等线 Light"/>
        <family val="3"/>
        <charset val="134"/>
      </rPr>
      <t>）</t>
    </r>
    <phoneticPr fontId="1" type="noConversion"/>
  </si>
  <si>
    <t>发热量占比heat_percent</t>
    <phoneticPr fontId="1" type="noConversion"/>
  </si>
  <si>
    <t>基板表面积S(mm²)</t>
    <phoneticPr fontId="1" type="noConversion"/>
  </si>
  <si>
    <t>（未提供2热阻的情况下需提供）芯片材料热导率lambda（W/m·℃）</t>
    <phoneticPr fontId="1" type="noConversion"/>
  </si>
  <si>
    <t>基板的当量导热面积Ah（mm²）</t>
    <phoneticPr fontId="1" type="noConversion"/>
  </si>
  <si>
    <t>当量对流面积Ac（mm²）</t>
    <phoneticPr fontId="1" type="noConversion"/>
  </si>
  <si>
    <t>等效换热面积Ae（m²）</t>
    <phoneticPr fontId="1" type="noConversion"/>
  </si>
  <si>
    <t>运动粘度alpha（m²/s）</t>
    <phoneticPr fontId="1" type="noConversion"/>
  </si>
  <si>
    <t>流体热导率lambda_l（W/m*K）</t>
    <phoneticPr fontId="1" type="noConversion"/>
  </si>
  <si>
    <t>平均对流换热系数delta</t>
    <phoneticPr fontId="1" type="noConversion"/>
  </si>
  <si>
    <t>芯片结节至环境的总热阻Rt（℃/W）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</si>
</sst>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E+00"/>
  </numFmts>
  <fonts count="23" x14ac:knownFonts="1">
    <font>
      <sz val="11"/>
      <color theme="1"/>
      <name val="等线"/>
      <family val="2"/>
      <scheme val="minor"/>
    </font>
    <font>
      <sz val="9"/>
      <name val="等线"/>
      <family val="3"/>
      <charset val="134"/>
      <scheme val="minor"/>
    </font>
    <font>
      <sz val="11"/>
      <color theme="1"/>
      <name val="Times New Roman"/>
      <family val="1"/>
    </font>
    <font>
      <vertAlign val="subscript"/>
      <sz val="11"/>
      <color theme="1"/>
      <name val="Times New Roman"/>
      <family val="1"/>
    </font>
    <font>
      <sz val="11"/>
      <color theme="1"/>
      <name val="等线"/>
      <family val="1"/>
      <scheme val="minor"/>
    </font>
    <font>
      <vertAlign val="subscript"/>
      <sz val="11"/>
      <color theme="1"/>
      <name val="等线"/>
      <family val="3"/>
      <charset val="134"/>
      <scheme val="minor"/>
    </font>
    <font>
      <vertAlign val="subscript"/>
      <sz val="11"/>
      <color theme="1"/>
      <name val="等线"/>
      <family val="2"/>
      <scheme val="minor"/>
    </font>
    <font>
      <sz val="11"/>
      <color theme="1"/>
      <name val="等线"/>
      <family val="3"/>
      <charset val="134"/>
      <scheme val="minor"/>
    </font>
    <font>
      <sz val="11"/>
      <color theme="1"/>
      <name val="宋体"/>
      <family val="3"/>
      <charset val="134"/>
    </font>
    <font>
      <vertAlign val="superscript"/>
      <sz val="11"/>
      <color theme="1"/>
      <name val="等线"/>
      <family val="3"/>
      <charset val="134"/>
      <scheme val="minor"/>
    </font>
    <font>
      <sz val="11"/>
      <color theme="1"/>
      <name val="Times New Roman"/>
      <family val="3"/>
      <charset val="134"/>
    </font>
    <font>
      <sz val="11"/>
      <color rgb="FFFF0000"/>
      <name val="等线"/>
      <family val="3"/>
      <charset val="134"/>
      <scheme val="minor"/>
    </font>
    <font>
      <vertAlign val="subscript"/>
      <sz val="11"/>
      <color rgb="FFFF0000"/>
      <name val="等线"/>
      <family val="3"/>
      <charset val="134"/>
      <scheme val="minor"/>
    </font>
    <font>
      <sz val="11"/>
      <color rgb="FFFF0000"/>
      <name val="等线"/>
      <family val="2"/>
      <scheme val="minor"/>
    </font>
    <font>
      <sz val="11"/>
      <name val="等线"/>
      <family val="2"/>
      <scheme val="minor"/>
    </font>
    <font>
      <sz val="11"/>
      <color rgb="FF0070C0"/>
      <name val="等线"/>
      <family val="3"/>
      <charset val="134"/>
      <scheme val="minor"/>
    </font>
    <font>
      <vertAlign val="subscript"/>
      <sz val="11"/>
      <color rgb="FF0070C0"/>
      <name val="等线"/>
      <family val="3"/>
      <charset val="134"/>
      <scheme val="minor"/>
    </font>
    <font>
      <sz val="11"/>
      <color theme="4" tint="-0.249977111117893"/>
      <name val="等线"/>
      <family val="3"/>
      <charset val="134"/>
      <scheme val="minor"/>
    </font>
    <font>
      <vertAlign val="subscript"/>
      <sz val="11"/>
      <color theme="4" tint="-0.249977111117893"/>
      <name val="等线"/>
      <family val="3"/>
      <charset val="134"/>
      <scheme val="minor"/>
    </font>
    <font>
      <sz val="11"/>
      <name val="等线"/>
      <family val="3"/>
      <charset val="134"/>
      <scheme val="minor"/>
    </font>
    <font>
      <sz val="11"/>
      <color theme="1"/>
      <name val="等线 Light"/>
      <family val="3"/>
      <charset val="134"/>
    </font>
    <font>
      <sz val="11"/>
      <color theme="1"/>
      <name val="等线"/>
      <family val="2"/>
    </font>
    <font>
      <sz val="11"/>
      <color theme="1"/>
      <name val="等线"/>
      <family val="1"/>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7"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horizontal="center"/>
    </xf>
    <xf numFmtId="0" fontId="2" fillId="0" borderId="0" xfId="0" applyFont="1"/>
    <xf numFmtId="0" fontId="4"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8" fillId="0" borderId="0" xfId="0" applyFont="1"/>
    <xf numFmtId="0" fontId="0" fillId="0" borderId="0" xfId="0" applyAlignment="1">
      <alignment wrapText="1"/>
    </xf>
    <xf numFmtId="11" fontId="0" fillId="0" borderId="7" xfId="0" applyNumberFormat="1" applyBorder="1"/>
    <xf numFmtId="11" fontId="0" fillId="0" borderId="0" xfId="0" applyNumberFormat="1"/>
    <xf numFmtId="176" fontId="0" fillId="0" borderId="0" xfId="0" applyNumberFormat="1"/>
    <xf numFmtId="0" fontId="0" fillId="2" borderId="0" xfId="0" applyFill="1" applyAlignment="1">
      <alignment wrapText="1"/>
    </xf>
    <xf numFmtId="0" fontId="0" fillId="2" borderId="0" xfId="0" applyFill="1"/>
    <xf numFmtId="0" fontId="10" fillId="0" borderId="0" xfId="0" applyFont="1"/>
    <xf numFmtId="0" fontId="8" fillId="3" borderId="0" xfId="0" applyFont="1" applyFill="1"/>
    <xf numFmtId="0" fontId="11" fillId="0" borderId="0" xfId="0" applyFont="1"/>
    <xf numFmtId="0" fontId="13" fillId="0" borderId="0" xfId="0" applyFont="1"/>
    <xf numFmtId="0" fontId="0" fillId="3" borderId="0" xfId="0" applyFill="1"/>
    <xf numFmtId="0" fontId="0" fillId="4" borderId="0" xfId="0" applyFill="1"/>
    <xf numFmtId="0" fontId="0" fillId="0" borderId="9" xfId="0" applyBorder="1"/>
    <xf numFmtId="0" fontId="0" fillId="0" borderId="9" xfId="0" applyBorder="1" applyAlignment="1">
      <alignment vertical="center"/>
    </xf>
    <xf numFmtId="177" fontId="0" fillId="0" borderId="9" xfId="0" applyNumberFormat="1" applyBorder="1"/>
    <xf numFmtId="11" fontId="0" fillId="0" borderId="9" xfId="0" applyNumberFormat="1" applyBorder="1"/>
    <xf numFmtId="0" fontId="0" fillId="0" borderId="9" xfId="0" applyBorder="1" applyAlignment="1">
      <alignment horizontal="center"/>
    </xf>
    <xf numFmtId="0" fontId="14" fillId="4" borderId="0" xfId="0" applyFont="1" applyFill="1" applyAlignment="1">
      <alignment wrapText="1"/>
    </xf>
    <xf numFmtId="0" fontId="0" fillId="3" borderId="9" xfId="0" applyFill="1" applyBorder="1"/>
    <xf numFmtId="11" fontId="0" fillId="3" borderId="9" xfId="0" applyNumberFormat="1" applyFill="1" applyBorder="1"/>
    <xf numFmtId="0" fontId="0" fillId="3" borderId="9" xfId="0" applyFill="1" applyBorder="1" applyAlignment="1">
      <alignment wrapText="1"/>
    </xf>
    <xf numFmtId="0" fontId="0" fillId="4" borderId="9" xfId="0" applyFill="1" applyBorder="1"/>
    <xf numFmtId="11" fontId="0" fillId="4" borderId="9" xfId="0" applyNumberFormat="1" applyFill="1" applyBorder="1"/>
    <xf numFmtId="0" fontId="15" fillId="0" borderId="0" xfId="0" applyFont="1"/>
    <xf numFmtId="0" fontId="17" fillId="0" borderId="0" xfId="0" applyFont="1"/>
    <xf numFmtId="0" fontId="0" fillId="0" borderId="0" xfId="0" applyAlignment="1">
      <alignment vertical="top" wrapText="1"/>
    </xf>
    <xf numFmtId="0" fontId="0" fillId="5" borderId="0" xfId="0" applyFill="1"/>
    <xf numFmtId="0" fontId="0" fillId="6" borderId="9" xfId="0" applyFill="1" applyBorder="1"/>
    <xf numFmtId="0" fontId="11" fillId="2" borderId="0" xfId="0" applyFont="1" applyFill="1"/>
    <xf numFmtId="0" fontId="17" fillId="2" borderId="0" xfId="0" applyFont="1" applyFill="1"/>
    <xf numFmtId="0" fontId="0" fillId="0" borderId="9" xfId="0" applyBorder="1" applyAlignment="1">
      <alignment horizontal="center"/>
    </xf>
    <xf numFmtId="0" fontId="0" fillId="0" borderId="0" xfId="0" applyAlignment="1">
      <alignment horizontal="center"/>
    </xf>
    <xf numFmtId="0" fontId="0" fillId="2" borderId="0" xfId="0" applyFill="1" applyAlignment="1">
      <alignment horizontal="center"/>
    </xf>
    <xf numFmtId="0" fontId="0" fillId="2" borderId="9"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22</xdr:row>
      <xdr:rowOff>51954</xdr:rowOff>
    </xdr:from>
    <xdr:to>
      <xdr:col>21</xdr:col>
      <xdr:colOff>226325</xdr:colOff>
      <xdr:row>57</xdr:row>
      <xdr:rowOff>103820</xdr:rowOff>
    </xdr:to>
    <xdr:pic>
      <xdr:nvPicPr>
        <xdr:cNvPr id="2" name="图片 1">
          <a:extLst>
            <a:ext uri="{FF2B5EF4-FFF2-40B4-BE49-F238E27FC236}">
              <a16:creationId xmlns:a16="http://schemas.microsoft.com/office/drawing/2014/main" id="{3A90E6BC-D2E5-60F6-97BA-F8042D999DBE}"/>
            </a:ext>
          </a:extLst>
        </xdr:cNvPr>
        <xdr:cNvPicPr>
          <a:picLocks noChangeAspect="1"/>
        </xdr:cNvPicPr>
      </xdr:nvPicPr>
      <xdr:blipFill>
        <a:blip xmlns:r="http://schemas.openxmlformats.org/officeDocument/2006/relationships" r:embed="rId1"/>
        <a:stretch>
          <a:fillRect/>
        </a:stretch>
      </xdr:blipFill>
      <xdr:spPr>
        <a:xfrm>
          <a:off x="12157364" y="5195454"/>
          <a:ext cx="18237234" cy="76025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9065A-AD0A-49BD-B69F-CDC27CFEFC45}">
  <dimension ref="A1:U63"/>
  <sheetViews>
    <sheetView tabSelected="1" topLeftCell="D1" zoomScale="90" zoomScaleNormal="90" workbookViewId="0">
      <selection activeCell="J7" sqref="J7"/>
    </sheetView>
  </sheetViews>
  <sheetFormatPr defaultRowHeight="13.8" x14ac:dyDescent="0.25"/>
  <cols>
    <col min="1" max="1" width="49.77734375" customWidth="1"/>
    <col min="3" max="3" width="31.44140625" customWidth="1"/>
    <col min="4" max="4" width="40.21875" customWidth="1"/>
    <col min="5" max="5" width="10.77734375" customWidth="1"/>
    <col min="8" max="8" width="49" customWidth="1"/>
    <col min="9" max="9" width="16.44140625" customWidth="1"/>
    <col min="10" max="10" width="25.88671875" customWidth="1"/>
    <col min="11" max="11" width="16.6640625" customWidth="1"/>
    <col min="12" max="12" width="14.44140625" customWidth="1"/>
    <col min="13" max="13" width="14.21875" customWidth="1"/>
    <col min="14" max="14" width="14.88671875" customWidth="1"/>
    <col min="15" max="15" width="16.33203125" customWidth="1"/>
    <col min="18" max="18" width="9.44140625" customWidth="1"/>
    <col min="19" max="19" width="15" customWidth="1"/>
    <col min="20" max="20" width="18.88671875" customWidth="1"/>
    <col min="21" max="21" width="6.44140625" customWidth="1"/>
  </cols>
  <sheetData>
    <row r="1" spans="1:21" x14ac:dyDescent="0.25">
      <c r="A1" s="42" t="s">
        <v>93</v>
      </c>
      <c r="B1" s="42"/>
      <c r="C1" s="42"/>
      <c r="D1" s="42"/>
      <c r="E1" s="42"/>
      <c r="H1" s="43" t="s">
        <v>41</v>
      </c>
      <c r="I1" s="43"/>
      <c r="J1" s="43"/>
      <c r="K1" s="43"/>
      <c r="L1" s="43"/>
      <c r="R1" s="40" t="s">
        <v>88</v>
      </c>
      <c r="S1" s="40"/>
      <c r="T1" s="40"/>
      <c r="U1" s="40"/>
    </row>
    <row r="2" spans="1:21" x14ac:dyDescent="0.25">
      <c r="A2" s="41" t="s">
        <v>0</v>
      </c>
      <c r="B2" s="41"/>
      <c r="C2" s="1" t="s">
        <v>56</v>
      </c>
      <c r="D2" s="41" t="s">
        <v>2</v>
      </c>
      <c r="E2" s="41"/>
      <c r="H2" s="40" t="s">
        <v>0</v>
      </c>
      <c r="I2" s="40"/>
      <c r="J2" s="26" t="s">
        <v>56</v>
      </c>
      <c r="K2" s="40" t="s">
        <v>2</v>
      </c>
      <c r="L2" s="40"/>
      <c r="R2" s="22" t="s">
        <v>89</v>
      </c>
      <c r="S2" s="22" t="s">
        <v>51</v>
      </c>
      <c r="T2" s="22" t="s">
        <v>91</v>
      </c>
      <c r="U2" s="23" t="s">
        <v>54</v>
      </c>
    </row>
    <row r="3" spans="1:21" ht="16.2" x14ac:dyDescent="0.25">
      <c r="A3" s="16" t="s">
        <v>77</v>
      </c>
      <c r="B3">
        <v>9.4E-2</v>
      </c>
      <c r="H3" s="28" t="s">
        <v>42</v>
      </c>
      <c r="I3" s="29">
        <f>I12^(0.5)</f>
        <v>6.8272666747340319E-3</v>
      </c>
      <c r="J3" s="22"/>
      <c r="K3" s="22" t="s">
        <v>43</v>
      </c>
      <c r="L3" s="25">
        <f>I4*I3/I8</f>
        <v>2327.0145169088078</v>
      </c>
      <c r="R3" s="22">
        <v>0</v>
      </c>
      <c r="S3" s="24">
        <v>1.328E-5</v>
      </c>
      <c r="T3" s="25">
        <v>2.4400000000000002E-2</v>
      </c>
      <c r="U3" s="22">
        <v>0.70699999999999996</v>
      </c>
    </row>
    <row r="4" spans="1:21" ht="16.2" x14ac:dyDescent="0.35">
      <c r="A4" s="16" t="s">
        <v>170</v>
      </c>
      <c r="B4">
        <v>0.65339999999999998</v>
      </c>
      <c r="H4" s="22" t="s">
        <v>44</v>
      </c>
      <c r="I4" s="22">
        <f>B7</f>
        <v>6</v>
      </c>
      <c r="J4" s="22"/>
      <c r="K4" s="22" t="s">
        <v>179</v>
      </c>
      <c r="L4" s="22">
        <f>IF(L3&gt;5*10^5,(0.037*L3^0.8-870)*I10^(1/3)*I9/I3,0.664*I9/I3*L3^0.5*I10^(1/3))</f>
        <v>116.77648830592553</v>
      </c>
      <c r="R4" s="22">
        <v>10</v>
      </c>
      <c r="S4" s="24">
        <v>1.416E-5</v>
      </c>
      <c r="T4" s="25">
        <v>2.5100000000000001E-2</v>
      </c>
      <c r="U4" s="22">
        <v>0.70499999999999996</v>
      </c>
    </row>
    <row r="5" spans="1:21" ht="14.4" x14ac:dyDescent="0.25">
      <c r="A5" s="17" t="s">
        <v>171</v>
      </c>
      <c r="B5">
        <f>B3/B4</f>
        <v>0.14386287113559842</v>
      </c>
      <c r="H5" s="22" t="s">
        <v>46</v>
      </c>
      <c r="I5" s="22">
        <f>B6</f>
        <v>68</v>
      </c>
      <c r="J5" s="22"/>
      <c r="K5" s="22"/>
      <c r="L5" s="22"/>
      <c r="R5" s="22">
        <v>20</v>
      </c>
      <c r="S5" s="24">
        <v>1.506E-5</v>
      </c>
      <c r="T5" s="25">
        <v>2.5899999999999999E-2</v>
      </c>
      <c r="U5" s="22">
        <v>0.70299999999999996</v>
      </c>
    </row>
    <row r="6" spans="1:21" ht="56.4" x14ac:dyDescent="0.35">
      <c r="A6" t="s">
        <v>111</v>
      </c>
      <c r="B6">
        <v>68</v>
      </c>
      <c r="H6" s="37" t="s">
        <v>81</v>
      </c>
      <c r="I6" s="37">
        <f>25</f>
        <v>25</v>
      </c>
      <c r="J6" s="30" t="s">
        <v>109</v>
      </c>
      <c r="K6" s="22" t="s">
        <v>49</v>
      </c>
      <c r="L6" s="22">
        <f>I11/I12/L4+I5</f>
        <v>68.714924290498004</v>
      </c>
      <c r="N6">
        <f>I6+(L6-I6)/2</f>
        <v>46.857462145249002</v>
      </c>
      <c r="R6" s="22">
        <v>30</v>
      </c>
      <c r="S6" s="24">
        <v>1.5999999999999999E-5</v>
      </c>
      <c r="T6" s="25">
        <v>2.6700000000000002E-2</v>
      </c>
      <c r="U6" s="22">
        <v>0.70099999999999996</v>
      </c>
    </row>
    <row r="7" spans="1:21" ht="16.2" x14ac:dyDescent="0.35">
      <c r="A7" s="2" t="s">
        <v>115</v>
      </c>
      <c r="B7">
        <v>6</v>
      </c>
      <c r="H7" s="28" t="s">
        <v>50</v>
      </c>
      <c r="I7" s="28">
        <f>(I5+I6)/2</f>
        <v>46.5</v>
      </c>
      <c r="J7" s="22"/>
      <c r="K7" s="22"/>
      <c r="L7" s="22"/>
      <c r="R7" s="22">
        <v>40</v>
      </c>
      <c r="S7" s="24">
        <v>1.696E-5</v>
      </c>
      <c r="T7" s="25">
        <v>2.76E-2</v>
      </c>
      <c r="U7" s="22">
        <v>0.69899999999999995</v>
      </c>
    </row>
    <row r="8" spans="1:21" x14ac:dyDescent="0.25">
      <c r="A8" t="s">
        <v>112</v>
      </c>
      <c r="B8">
        <v>143</v>
      </c>
      <c r="E8">
        <f>IF(B8=0,B14/2/B10/B12/B13*1000,B8)</f>
        <v>143</v>
      </c>
      <c r="H8" s="31" t="s">
        <v>177</v>
      </c>
      <c r="I8" s="32">
        <f>IF(AND(R3&lt;=I7,I7&lt;R4),S3+(S4-S3)*(I7-R3)/(R4-R3),IF(AND(R4&lt;=I7,I7&lt;R5),S4+(S5-S4)*(I7-R4)/(R5-R4),IF(AND(R5&lt;=I7,I7&lt;R6),S5+(S6-S5)*(I7-R5)/(R6-R5),IF(AND(R6&lt;=I7,I7&lt;R7),S6+(S7-S6)*(I7-R6)/(R7-R6),IF(AND(R7&lt;=I7,I7&lt;R8),S7+(S8-S7)*(I7-R7)/(R8-R7),IF(AND(R8&lt;=I7,I7&lt;R9),S8+(S9-S8)*(I7-R8)/(R9-R8),IF(AND(R9&lt;=I7,I7&lt;R10),S9+(S10-S9)*(I7-R9)/(R10-R9),IF(AND(R10&lt;=I7,I7&lt;=R11),S10+(S11-S10)*(I7-R10)/(R11-R10),"超出范围"))))))))</f>
        <v>1.7603499999999998E-5</v>
      </c>
      <c r="J8" s="31" t="s">
        <v>92</v>
      </c>
      <c r="K8" s="22"/>
      <c r="L8" s="22"/>
      <c r="R8" s="22">
        <v>50</v>
      </c>
      <c r="S8" s="24">
        <v>1.7949999999999999E-5</v>
      </c>
      <c r="T8" s="25">
        <v>2.8299999999999999E-2</v>
      </c>
      <c r="U8" s="22">
        <v>0.69799999999999995</v>
      </c>
    </row>
    <row r="9" spans="1:21" x14ac:dyDescent="0.25">
      <c r="A9" t="s">
        <v>113</v>
      </c>
      <c r="B9">
        <v>220</v>
      </c>
      <c r="D9" t="s">
        <v>167</v>
      </c>
      <c r="E9">
        <f>IF(B9=0,B14/2/B10/B12/B13*1000,B9)</f>
        <v>220</v>
      </c>
      <c r="H9" s="31" t="s">
        <v>178</v>
      </c>
      <c r="I9" s="32">
        <f>IF(AND(R3&lt;=I7,I7&lt;R4),T3+(T4-T3)*(I7-R3)/(R4-R3),IF(AND(R4&lt;=I7,I7&lt;R5),T4+(T5-T4)*(I7-R4)/(R5-R4),IF(AND(R5&lt;=I7,I7&lt;R6),T5+(T6-T5)*(I7-R5)/(R6-R5),IF(AND(R6&lt;=I7,I7&lt;R7),T6+(T7-T6)*(I7-R6)/(R7-R6),IF(AND(R7&lt;=I7,I7&lt;R8),T7+(T8-T7)*(I7-R7)/(R8-R7),IF(AND(R8&lt;=I7,I7&lt;R9),T8+(T9-T8)*(I7-R8)/(R9-R8),IF(AND(R9&lt;=I7,I7&lt;R10),T9+(T10-T9)*(I7-R9)/(R10-R9),IF(AND(R10&lt;=I7,I7&lt;=R11),T10+(T11-T10)*(I7-R10)/(R11-R10),"超出范围"))))))))</f>
        <v>2.8055E-2</v>
      </c>
      <c r="J9" s="31" t="s">
        <v>92</v>
      </c>
      <c r="K9" s="22"/>
      <c r="L9" s="22"/>
      <c r="R9" s="22">
        <v>60</v>
      </c>
      <c r="S9" s="24">
        <v>1.897E-5</v>
      </c>
      <c r="T9" s="25">
        <v>2.9000000000000001E-2</v>
      </c>
      <c r="U9" s="22">
        <v>0.69599999999999995</v>
      </c>
    </row>
    <row r="10" spans="1:21" x14ac:dyDescent="0.25">
      <c r="A10" t="s">
        <v>173</v>
      </c>
      <c r="B10">
        <v>150</v>
      </c>
      <c r="D10" s="18" t="s">
        <v>180</v>
      </c>
      <c r="E10" s="18">
        <f>E54*E60/(E54+E60)</f>
        <v>388.22317072113128</v>
      </c>
      <c r="H10" s="31" t="s">
        <v>54</v>
      </c>
      <c r="I10" s="32">
        <f>IF(AND(R3&lt;=I7,I7&lt;R4),U3+(U4-U3)*(I7-R3)/(R4-R3),IF(AND(R4&lt;=I7,I7&lt;R5),U4+(U5-U4)*(I7-R4)/(R5-R4),IF(AND(R5&lt;=I7,I7&lt;R6),U5+(U6-U5)*(I7-R5)/(R6-R5),IF(AND(R6&lt;=I7,I7&lt;R7),U6+(U7-U6)*(I7-R6)/(R7-R6),IF(AND(R7&lt;=I7,I7&lt;R8),U7+(U8-U7)*(I7-R7)/(R8-R7),IF(AND(R8&lt;=I7,I7&lt;R9),U8+(U9-U8)*(I7-R8)/(R9-R8),IF(AND(R9&lt;=I7,I7&lt;R10),U9+(U10-U9)*(I7-R9)/(R10-R9),IF(AND(R10&lt;=I7,I7&lt;=R11),U10+(U11-U10)*(I7-R10)/(R11-R10),"超出范围"))))))))</f>
        <v>0.69834999999999992</v>
      </c>
      <c r="J10" s="31" t="s">
        <v>92</v>
      </c>
      <c r="K10" s="22"/>
      <c r="L10" s="22"/>
      <c r="R10" s="22">
        <v>70</v>
      </c>
      <c r="S10" s="24">
        <v>2.0020000000000001E-5</v>
      </c>
      <c r="T10" s="25">
        <v>2.9600000000000001E-2</v>
      </c>
      <c r="U10" s="22">
        <v>0.69399999999999995</v>
      </c>
    </row>
    <row r="11" spans="1:21" x14ac:dyDescent="0.25">
      <c r="A11" t="s">
        <v>114</v>
      </c>
      <c r="B11">
        <v>125</v>
      </c>
      <c r="D11" s="33" t="s">
        <v>130</v>
      </c>
      <c r="E11" s="33">
        <f>E13+B3*E60/(E60+E54)*E8</f>
        <v>104.49297804778632</v>
      </c>
      <c r="H11" s="28" t="s">
        <v>79</v>
      </c>
      <c r="I11" s="28">
        <f>B3*E60/(E54+E60)</f>
        <v>3.8914297768276756E-3</v>
      </c>
      <c r="J11" s="22"/>
      <c r="K11" s="22"/>
      <c r="L11" s="22"/>
      <c r="R11" s="22">
        <v>80</v>
      </c>
      <c r="S11" s="24">
        <v>2.109E-5</v>
      </c>
      <c r="T11" s="25">
        <v>3.0499999999999999E-2</v>
      </c>
      <c r="U11" s="22">
        <v>0.69199999999999995</v>
      </c>
    </row>
    <row r="12" spans="1:21" x14ac:dyDescent="0.25">
      <c r="A12" t="s">
        <v>4</v>
      </c>
      <c r="B12">
        <v>0.64</v>
      </c>
      <c r="H12" s="28" t="s">
        <v>176</v>
      </c>
      <c r="I12" s="29">
        <f>B15*B5*0.000001</f>
        <v>4.6611570247933886E-5</v>
      </c>
      <c r="J12" s="22"/>
      <c r="K12" s="22"/>
      <c r="L12" s="22"/>
    </row>
    <row r="13" spans="1:21" ht="16.2" x14ac:dyDescent="0.35">
      <c r="A13" t="s">
        <v>5</v>
      </c>
      <c r="B13">
        <v>0.64</v>
      </c>
      <c r="D13" s="39" t="s">
        <v>134</v>
      </c>
      <c r="E13" s="39">
        <f>E20+B3*E60/(E60+E54)*E19</f>
        <v>103.93650358969997</v>
      </c>
    </row>
    <row r="14" spans="1:21" x14ac:dyDescent="0.25">
      <c r="A14" t="s">
        <v>6</v>
      </c>
      <c r="B14">
        <v>0.33</v>
      </c>
    </row>
    <row r="15" spans="1:21" ht="45" customHeight="1" x14ac:dyDescent="0.25">
      <c r="A15" t="s">
        <v>172</v>
      </c>
      <c r="B15">
        <v>324</v>
      </c>
      <c r="H15" s="10" t="s">
        <v>64</v>
      </c>
      <c r="I15" s="10" t="s">
        <v>65</v>
      </c>
      <c r="J15" s="10" t="s">
        <v>68</v>
      </c>
      <c r="K15" s="10" t="s">
        <v>66</v>
      </c>
      <c r="L15" s="10" t="s">
        <v>67</v>
      </c>
      <c r="M15" s="14" t="s">
        <v>69</v>
      </c>
      <c r="N15" s="10" t="s">
        <v>66</v>
      </c>
      <c r="O15" s="10" t="s">
        <v>67</v>
      </c>
    </row>
    <row r="16" spans="1:21" x14ac:dyDescent="0.25">
      <c r="H16" t="s">
        <v>87</v>
      </c>
      <c r="I16">
        <v>35.6</v>
      </c>
      <c r="J16">
        <v>40.5</v>
      </c>
      <c r="K16" s="13">
        <f>(I16-J16)/J16</f>
        <v>-0.12098765432098763</v>
      </c>
      <c r="M16" s="15">
        <v>38.6</v>
      </c>
      <c r="N16" s="13">
        <f>(I16-M16)/M16</f>
        <v>-7.7720207253886009E-2</v>
      </c>
    </row>
    <row r="17" spans="1:14" ht="16.2" x14ac:dyDescent="0.35">
      <c r="A17" s="41" t="s">
        <v>155</v>
      </c>
      <c r="B17" s="41"/>
      <c r="H17" t="s">
        <v>70</v>
      </c>
      <c r="I17">
        <v>35.5</v>
      </c>
      <c r="J17">
        <v>40.6</v>
      </c>
      <c r="K17" s="13">
        <f>(I17-J17)/J17</f>
        <v>-0.12561576354679807</v>
      </c>
      <c r="M17" s="15">
        <v>38.4</v>
      </c>
      <c r="N17" s="13">
        <f>(I17-M17)/M17</f>
        <v>-7.5520833333333301E-2</v>
      </c>
    </row>
    <row r="18" spans="1:14" ht="16.2" x14ac:dyDescent="0.35">
      <c r="A18" t="s">
        <v>157</v>
      </c>
      <c r="B18">
        <v>2</v>
      </c>
      <c r="D18" s="34"/>
      <c r="E18" s="34"/>
      <c r="H18" t="s">
        <v>71</v>
      </c>
      <c r="I18">
        <v>33</v>
      </c>
      <c r="J18">
        <v>35.799999999999997</v>
      </c>
      <c r="K18" s="13">
        <f>(I18-J18)/J18</f>
        <v>-7.8212290502793227E-2</v>
      </c>
      <c r="M18" s="15">
        <v>35.200000000000003</v>
      </c>
      <c r="N18" s="13">
        <f>(I18-M18)/M18</f>
        <v>-6.2500000000000069E-2</v>
      </c>
    </row>
    <row r="19" spans="1:14" ht="28.8" x14ac:dyDescent="0.35">
      <c r="A19" t="s">
        <v>158</v>
      </c>
      <c r="B19">
        <v>4</v>
      </c>
      <c r="C19" s="10" t="s">
        <v>39</v>
      </c>
      <c r="D19" s="18" t="s">
        <v>161</v>
      </c>
      <c r="E19" s="18">
        <f>B19/B18/B20*1000</f>
        <v>400</v>
      </c>
      <c r="H19" t="s">
        <v>72</v>
      </c>
      <c r="I19">
        <v>35.5</v>
      </c>
      <c r="J19">
        <v>40.4</v>
      </c>
      <c r="K19" s="13">
        <f>(I19-J19)/J19</f>
        <v>-0.12128712871287126</v>
      </c>
      <c r="M19" s="15">
        <v>38.4</v>
      </c>
      <c r="N19" s="13">
        <f>(I19-M19)/M19</f>
        <v>-7.5520833333333301E-2</v>
      </c>
    </row>
    <row r="20" spans="1:14" ht="16.2" x14ac:dyDescent="0.35">
      <c r="A20" t="s">
        <v>159</v>
      </c>
      <c r="B20">
        <v>5</v>
      </c>
      <c r="D20" s="33" t="s">
        <v>160</v>
      </c>
      <c r="E20" s="33">
        <f>E24+E23*E60/(E60+E54)*B3</f>
        <v>102.3799316789689</v>
      </c>
      <c r="H20" t="s">
        <v>74</v>
      </c>
      <c r="I20">
        <v>35.4</v>
      </c>
      <c r="J20">
        <v>34.5</v>
      </c>
      <c r="K20" s="13">
        <f>(I20-J20)/J20</f>
        <v>2.6086956521739091E-2</v>
      </c>
      <c r="M20" s="15">
        <v>38.1</v>
      </c>
      <c r="N20" s="13">
        <f>(I20-M20)/M20</f>
        <v>-7.0866141732283533E-2</v>
      </c>
    </row>
    <row r="22" spans="1:14" x14ac:dyDescent="0.25">
      <c r="A22" s="41" t="s">
        <v>156</v>
      </c>
      <c r="B22" s="41"/>
    </row>
    <row r="23" spans="1:14" ht="16.2" x14ac:dyDescent="0.35">
      <c r="A23" t="s">
        <v>164</v>
      </c>
      <c r="B23">
        <v>1</v>
      </c>
      <c r="D23" s="18" t="s">
        <v>162</v>
      </c>
      <c r="E23" s="18">
        <f>B24/B23/B25*1000</f>
        <v>300</v>
      </c>
    </row>
    <row r="24" spans="1:14" ht="16.2" x14ac:dyDescent="0.35">
      <c r="A24" t="s">
        <v>165</v>
      </c>
      <c r="B24">
        <v>3</v>
      </c>
      <c r="D24" s="33" t="s">
        <v>163</v>
      </c>
      <c r="E24" s="33">
        <f>E31+E30*E60/(E60+E54)*B3</f>
        <v>101.2125027459206</v>
      </c>
    </row>
    <row r="25" spans="1:14" ht="16.2" x14ac:dyDescent="0.35">
      <c r="A25" t="s">
        <v>166</v>
      </c>
      <c r="B25">
        <v>10</v>
      </c>
    </row>
    <row r="28" spans="1:14" x14ac:dyDescent="0.25">
      <c r="A28" s="41" t="s">
        <v>141</v>
      </c>
      <c r="B28" s="41"/>
    </row>
    <row r="29" spans="1:14" ht="16.2" x14ac:dyDescent="0.35">
      <c r="A29" t="s">
        <v>143</v>
      </c>
      <c r="B29">
        <v>5</v>
      </c>
      <c r="D29" s="34"/>
      <c r="E29" s="34"/>
    </row>
    <row r="30" spans="1:14" ht="28.8" x14ac:dyDescent="0.35">
      <c r="A30" t="s">
        <v>144</v>
      </c>
      <c r="B30">
        <v>5</v>
      </c>
      <c r="C30" s="10" t="s">
        <v>39</v>
      </c>
      <c r="D30" s="18" t="s">
        <v>149</v>
      </c>
      <c r="E30" s="18">
        <f>B30/B29/B31*1000</f>
        <v>200</v>
      </c>
    </row>
    <row r="31" spans="1:14" ht="16.2" x14ac:dyDescent="0.35">
      <c r="A31" t="s">
        <v>145</v>
      </c>
      <c r="B31">
        <v>5</v>
      </c>
      <c r="D31" s="33" t="s">
        <v>154</v>
      </c>
      <c r="E31" s="33">
        <f>E35+E34*E60/(E60+E54)*B3</f>
        <v>100.43421679055507</v>
      </c>
    </row>
    <row r="33" spans="1:5" x14ac:dyDescent="0.25">
      <c r="A33" s="41" t="s">
        <v>142</v>
      </c>
      <c r="B33" s="41"/>
    </row>
    <row r="34" spans="1:5" ht="16.2" x14ac:dyDescent="0.35">
      <c r="A34" t="s">
        <v>146</v>
      </c>
      <c r="B34">
        <v>1</v>
      </c>
      <c r="D34" s="18" t="s">
        <v>151</v>
      </c>
      <c r="E34" s="18">
        <f>B35/B34/B36*1000</f>
        <v>200</v>
      </c>
    </row>
    <row r="35" spans="1:5" ht="16.2" x14ac:dyDescent="0.35">
      <c r="A35" t="s">
        <v>147</v>
      </c>
      <c r="B35">
        <v>2</v>
      </c>
      <c r="D35" s="33" t="s">
        <v>153</v>
      </c>
      <c r="E35" s="33">
        <f>E42+E41*E60/(E60+E54)*B3</f>
        <v>99.655930835189537</v>
      </c>
    </row>
    <row r="36" spans="1:5" ht="16.2" x14ac:dyDescent="0.35">
      <c r="A36" t="s">
        <v>150</v>
      </c>
      <c r="B36">
        <v>10</v>
      </c>
    </row>
    <row r="39" spans="1:5" x14ac:dyDescent="0.25">
      <c r="A39" s="41" t="s">
        <v>116</v>
      </c>
      <c r="B39" s="41"/>
    </row>
    <row r="40" spans="1:5" ht="16.2" x14ac:dyDescent="0.35">
      <c r="A40" t="s">
        <v>119</v>
      </c>
      <c r="B40">
        <v>1</v>
      </c>
    </row>
    <row r="41" spans="1:5" ht="28.8" x14ac:dyDescent="0.35">
      <c r="A41" t="s">
        <v>120</v>
      </c>
      <c r="B41">
        <v>1</v>
      </c>
      <c r="C41" s="10" t="s">
        <v>39</v>
      </c>
      <c r="D41" s="18" t="s">
        <v>133</v>
      </c>
      <c r="E41" s="18">
        <f>B41/B40/B42*1000</f>
        <v>1000</v>
      </c>
    </row>
    <row r="42" spans="1:5" ht="16.5" customHeight="1" x14ac:dyDescent="0.35">
      <c r="A42" t="s">
        <v>121</v>
      </c>
      <c r="B42">
        <v>1</v>
      </c>
      <c r="D42" s="33" t="s">
        <v>152</v>
      </c>
      <c r="E42" s="33">
        <f>E46+B3*E60/(E60+E54)*E45</f>
        <v>95.764501058361859</v>
      </c>
    </row>
    <row r="44" spans="1:5" x14ac:dyDescent="0.25">
      <c r="A44" s="41" t="s">
        <v>117</v>
      </c>
      <c r="B44" s="41"/>
    </row>
    <row r="45" spans="1:5" ht="16.2" x14ac:dyDescent="0.35">
      <c r="A45" t="s">
        <v>122</v>
      </c>
      <c r="B45">
        <v>1</v>
      </c>
      <c r="D45" s="38" t="s">
        <v>135</v>
      </c>
      <c r="E45" s="38">
        <f>B46/B45/B48*1000</f>
        <v>6951.0638297872329</v>
      </c>
    </row>
    <row r="46" spans="1:5" ht="16.2" x14ac:dyDescent="0.35">
      <c r="A46" t="s">
        <v>126</v>
      </c>
      <c r="B46">
        <v>1</v>
      </c>
      <c r="D46" s="33" t="s">
        <v>168</v>
      </c>
      <c r="E46" s="33">
        <f>L6</f>
        <v>68.714924290498004</v>
      </c>
    </row>
    <row r="47" spans="1:5" ht="16.2" x14ac:dyDescent="0.35">
      <c r="A47" t="s">
        <v>127</v>
      </c>
      <c r="B47">
        <v>1</v>
      </c>
    </row>
    <row r="48" spans="1:5" x14ac:dyDescent="0.25">
      <c r="A48" s="20" t="s">
        <v>148</v>
      </c>
      <c r="B48">
        <f>B47*B5</f>
        <v>0.14386287113559842</v>
      </c>
    </row>
    <row r="50" spans="1:5" x14ac:dyDescent="0.25">
      <c r="A50" s="41" t="s">
        <v>118</v>
      </c>
      <c r="B50" s="41"/>
    </row>
    <row r="51" spans="1:5" ht="28.8" x14ac:dyDescent="0.35">
      <c r="A51" s="21" t="s">
        <v>123</v>
      </c>
      <c r="B51" s="21">
        <f>L4</f>
        <v>116.77648830592553</v>
      </c>
      <c r="C51" s="27" t="s">
        <v>97</v>
      </c>
      <c r="D51" s="18" t="s">
        <v>136</v>
      </c>
      <c r="E51" s="18">
        <f>1/B51/B53*1000000</f>
        <v>183.7176388881976</v>
      </c>
    </row>
    <row r="52" spans="1:5" ht="16.2" x14ac:dyDescent="0.35">
      <c r="A52" t="s">
        <v>124</v>
      </c>
      <c r="B52">
        <v>324</v>
      </c>
      <c r="D52" t="s">
        <v>137</v>
      </c>
      <c r="E52">
        <f>B6</f>
        <v>68</v>
      </c>
    </row>
    <row r="53" spans="1:5" x14ac:dyDescent="0.25">
      <c r="A53" s="20" t="s">
        <v>175</v>
      </c>
      <c r="B53">
        <f>B52*B5</f>
        <v>46.611570247933891</v>
      </c>
    </row>
    <row r="54" spans="1:5" ht="16.2" x14ac:dyDescent="0.35">
      <c r="D54" s="15" t="s">
        <v>131</v>
      </c>
      <c r="E54" s="15">
        <f>E8+E41+E45+E51+E34+E30+E23+E19</f>
        <v>9377.78146867543</v>
      </c>
    </row>
    <row r="56" spans="1:5" ht="16.2" x14ac:dyDescent="0.35">
      <c r="A56" s="41" t="s">
        <v>25</v>
      </c>
      <c r="B56" s="41"/>
    </row>
    <row r="57" spans="1:5" ht="16.2" x14ac:dyDescent="0.35">
      <c r="A57" t="s">
        <v>125</v>
      </c>
      <c r="B57">
        <v>13.5</v>
      </c>
      <c r="D57" s="18" t="s">
        <v>138</v>
      </c>
      <c r="E57" s="19">
        <f>B58/B60/B57*1000</f>
        <v>1.2713422642500656</v>
      </c>
    </row>
    <row r="58" spans="1:5" ht="28.8" x14ac:dyDescent="0.35">
      <c r="A58" t="s">
        <v>128</v>
      </c>
      <c r="B58">
        <v>0.8</v>
      </c>
      <c r="C58" s="10" t="s">
        <v>80</v>
      </c>
      <c r="D58" s="33" t="s">
        <v>139</v>
      </c>
      <c r="E58" s="33">
        <f>E59-B3*E54/(E54+E60)*E57</f>
        <v>84.554533764992556</v>
      </c>
    </row>
    <row r="59" spans="1:5" ht="16.2" x14ac:dyDescent="0.35">
      <c r="A59" t="s">
        <v>129</v>
      </c>
      <c r="B59">
        <v>324</v>
      </c>
      <c r="D59" s="33" t="s">
        <v>140</v>
      </c>
      <c r="E59" s="33">
        <f>E11-B3*E54/(E54+E60)*E9</f>
        <v>84.669092598688422</v>
      </c>
    </row>
    <row r="60" spans="1:5" ht="16.2" x14ac:dyDescent="0.35">
      <c r="A60" s="20" t="s">
        <v>174</v>
      </c>
      <c r="B60">
        <f>B59*B5</f>
        <v>46.611570247933891</v>
      </c>
      <c r="D60" t="s">
        <v>132</v>
      </c>
      <c r="E60">
        <f>E9+E57+E51</f>
        <v>404.98898115244765</v>
      </c>
    </row>
    <row r="62" spans="1:5" ht="105" customHeight="1" x14ac:dyDescent="0.25">
      <c r="A62" s="10" t="s">
        <v>169</v>
      </c>
    </row>
    <row r="63" spans="1:5" ht="220.8" x14ac:dyDescent="0.25">
      <c r="A63" s="35" t="s">
        <v>110</v>
      </c>
    </row>
  </sheetData>
  <mergeCells count="15">
    <mergeCell ref="A56:B56"/>
    <mergeCell ref="A28:B28"/>
    <mergeCell ref="A33:B33"/>
    <mergeCell ref="A1:E1"/>
    <mergeCell ref="H1:L1"/>
    <mergeCell ref="A17:B17"/>
    <mergeCell ref="A22:B22"/>
    <mergeCell ref="A39:B39"/>
    <mergeCell ref="A44:B44"/>
    <mergeCell ref="A50:B50"/>
    <mergeCell ref="R1:U1"/>
    <mergeCell ref="A2:B2"/>
    <mergeCell ref="D2:E2"/>
    <mergeCell ref="H2:I2"/>
    <mergeCell ref="K2:L2"/>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
  <sheetViews>
    <sheetView workbookViewId="0">
      <selection activeCell="H15" sqref="H15:O20"/>
    </sheetView>
  </sheetViews>
  <sheetFormatPr defaultRowHeight="13.8" x14ac:dyDescent="0.25"/>
  <cols>
    <col min="1" max="1" width="49.77734375" customWidth="1"/>
    <col min="3" max="3" width="31.44140625" customWidth="1"/>
    <col min="4" max="4" width="25.109375" customWidth="1"/>
    <col min="5" max="5" width="10.77734375" customWidth="1"/>
    <col min="8" max="8" width="21.88671875" customWidth="1"/>
    <col min="9" max="9" width="16.44140625" customWidth="1"/>
    <col min="10" max="10" width="19.6640625" customWidth="1"/>
    <col min="11" max="11" width="16.6640625" customWidth="1"/>
    <col min="12" max="12" width="14.44140625" customWidth="1"/>
    <col min="13" max="13" width="14.21875" customWidth="1"/>
    <col min="14" max="14" width="14.88671875" customWidth="1"/>
    <col min="15" max="15" width="16.33203125" customWidth="1"/>
  </cols>
  <sheetData>
    <row r="1" spans="1:15" x14ac:dyDescent="0.25">
      <c r="A1" s="42" t="s">
        <v>57</v>
      </c>
      <c r="B1" s="42"/>
      <c r="C1" s="42"/>
      <c r="D1" s="42"/>
      <c r="E1" s="42"/>
      <c r="H1" s="44" t="s">
        <v>41</v>
      </c>
      <c r="I1" s="45"/>
      <c r="J1" s="45"/>
      <c r="K1" s="45"/>
      <c r="L1" s="46"/>
    </row>
    <row r="2" spans="1:15" x14ac:dyDescent="0.25">
      <c r="A2" s="41" t="s">
        <v>0</v>
      </c>
      <c r="B2" s="41"/>
      <c r="C2" s="1" t="s">
        <v>56</v>
      </c>
      <c r="D2" s="41" t="s">
        <v>2</v>
      </c>
      <c r="E2" s="41"/>
      <c r="H2" s="47" t="s">
        <v>0</v>
      </c>
      <c r="I2" s="41"/>
      <c r="J2" s="1" t="s">
        <v>56</v>
      </c>
      <c r="K2" s="41" t="s">
        <v>2</v>
      </c>
      <c r="L2" s="48"/>
    </row>
    <row r="3" spans="1:15" ht="16.2" x14ac:dyDescent="0.25">
      <c r="A3" s="2" t="s">
        <v>1</v>
      </c>
      <c r="B3">
        <v>4.4999999999999998E-2</v>
      </c>
      <c r="H3" s="4" t="s">
        <v>42</v>
      </c>
      <c r="I3">
        <v>4.4999999999999997E-3</v>
      </c>
      <c r="K3" t="s">
        <v>43</v>
      </c>
      <c r="L3" s="5">
        <f>I4*I3/I8</f>
        <v>1406.25</v>
      </c>
    </row>
    <row r="4" spans="1:15" ht="16.2" x14ac:dyDescent="0.35">
      <c r="A4" s="9" t="s">
        <v>26</v>
      </c>
      <c r="B4">
        <v>6.9000000000000006E-2</v>
      </c>
      <c r="H4" s="4" t="s">
        <v>44</v>
      </c>
      <c r="I4">
        <v>5</v>
      </c>
      <c r="K4" t="s">
        <v>45</v>
      </c>
      <c r="L4" s="5">
        <f>IF(L3&gt;5*10^5,(0.037*L3^0.8-870)*I10^(1/3)*I9/I3,0.664*I9/I3*L3^0.5*I10^(1/3))</f>
        <v>131.24137365582615</v>
      </c>
    </row>
    <row r="5" spans="1:15" ht="16.2" x14ac:dyDescent="0.35">
      <c r="A5" s="3" t="s">
        <v>18</v>
      </c>
      <c r="B5">
        <v>25</v>
      </c>
      <c r="H5" s="4" t="s">
        <v>46</v>
      </c>
      <c r="I5">
        <v>25</v>
      </c>
      <c r="L5" s="5"/>
    </row>
    <row r="6" spans="1:15" ht="41.4" x14ac:dyDescent="0.25">
      <c r="A6" s="3" t="s">
        <v>13</v>
      </c>
      <c r="B6">
        <v>5</v>
      </c>
      <c r="H6" s="4" t="s">
        <v>47</v>
      </c>
      <c r="I6">
        <v>32.6</v>
      </c>
      <c r="J6" s="10" t="s">
        <v>48</v>
      </c>
      <c r="K6" t="s">
        <v>49</v>
      </c>
      <c r="L6" s="5">
        <f>I11/I12/L4+I5</f>
        <v>31.55670652407639</v>
      </c>
    </row>
    <row r="7" spans="1:15" x14ac:dyDescent="0.25">
      <c r="A7" t="s">
        <v>21</v>
      </c>
      <c r="D7" t="s">
        <v>30</v>
      </c>
      <c r="E7">
        <f>IF(B7=0,B13/2/B9/B11/B12*1000,B7)</f>
        <v>0.13108144499151433</v>
      </c>
      <c r="H7" s="4" t="s">
        <v>50</v>
      </c>
      <c r="I7">
        <f>(I5+I6)/2</f>
        <v>28.8</v>
      </c>
      <c r="L7" s="5"/>
    </row>
    <row r="8" spans="1:15" x14ac:dyDescent="0.25">
      <c r="A8" t="s">
        <v>22</v>
      </c>
      <c r="D8" t="s">
        <v>31</v>
      </c>
      <c r="E8">
        <f>IF(B8=0,B13/2/B9/B11/B12*1000,B8)</f>
        <v>0.13108144499151433</v>
      </c>
      <c r="H8" s="4" t="s">
        <v>51</v>
      </c>
      <c r="I8" s="12">
        <v>1.5999999999999999E-5</v>
      </c>
      <c r="J8" t="s">
        <v>52</v>
      </c>
      <c r="L8" s="5"/>
    </row>
    <row r="9" spans="1:15" x14ac:dyDescent="0.25">
      <c r="A9" t="s">
        <v>36</v>
      </c>
      <c r="B9">
        <v>150</v>
      </c>
      <c r="D9" t="s">
        <v>40</v>
      </c>
      <c r="E9">
        <f>E30*E36/(E30+E36)</f>
        <v>195.95711196509981</v>
      </c>
      <c r="H9" s="4" t="s">
        <v>53</v>
      </c>
      <c r="I9">
        <v>2.6700000000000002E-2</v>
      </c>
      <c r="J9" t="s">
        <v>52</v>
      </c>
      <c r="L9" s="5"/>
    </row>
    <row r="10" spans="1:15" x14ac:dyDescent="0.25">
      <c r="A10" t="s">
        <v>23</v>
      </c>
      <c r="B10">
        <v>125</v>
      </c>
      <c r="D10" t="s">
        <v>24</v>
      </c>
      <c r="E10">
        <f>E16+B3*E36/(E36+E30)*E7</f>
        <v>33.818070038429489</v>
      </c>
      <c r="H10" s="4" t="s">
        <v>54</v>
      </c>
      <c r="I10">
        <v>0.70099999999999996</v>
      </c>
      <c r="J10" t="s">
        <v>52</v>
      </c>
      <c r="L10" s="5"/>
    </row>
    <row r="11" spans="1:15" x14ac:dyDescent="0.25">
      <c r="A11" t="s">
        <v>4</v>
      </c>
      <c r="B11">
        <v>3.226</v>
      </c>
      <c r="H11" s="4" t="s">
        <v>62</v>
      </c>
      <c r="I11">
        <f>B3*E36/(E30+E36)</f>
        <v>1.9237587736146394E-2</v>
      </c>
      <c r="L11" s="5"/>
    </row>
    <row r="12" spans="1:15" ht="14.4" thickBot="1" x14ac:dyDescent="0.3">
      <c r="A12" t="s">
        <v>5</v>
      </c>
      <c r="B12">
        <v>2.956</v>
      </c>
      <c r="H12" s="6" t="s">
        <v>55</v>
      </c>
      <c r="I12" s="11">
        <v>2.2356000000000001E-5</v>
      </c>
      <c r="J12" s="7"/>
      <c r="K12" s="7"/>
      <c r="L12" s="8"/>
    </row>
    <row r="13" spans="1:15" x14ac:dyDescent="0.25">
      <c r="A13" t="s">
        <v>6</v>
      </c>
      <c r="B13">
        <v>0.375</v>
      </c>
    </row>
    <row r="15" spans="1:15" ht="45" customHeight="1" x14ac:dyDescent="0.25">
      <c r="A15" s="41" t="s">
        <v>10</v>
      </c>
      <c r="B15" s="41"/>
      <c r="H15" s="10" t="s">
        <v>64</v>
      </c>
      <c r="I15" s="10" t="s">
        <v>65</v>
      </c>
      <c r="J15" s="10" t="s">
        <v>68</v>
      </c>
      <c r="K15" s="10" t="s">
        <v>66</v>
      </c>
      <c r="L15" s="10" t="s">
        <v>67</v>
      </c>
      <c r="M15" s="14" t="s">
        <v>69</v>
      </c>
      <c r="N15" s="10" t="s">
        <v>66</v>
      </c>
      <c r="O15" s="10" t="s">
        <v>67</v>
      </c>
    </row>
    <row r="16" spans="1:15" ht="16.2" x14ac:dyDescent="0.35">
      <c r="A16" t="s">
        <v>11</v>
      </c>
      <c r="B16">
        <v>2.5999999999999999E-2</v>
      </c>
      <c r="D16" t="s">
        <v>20</v>
      </c>
      <c r="E16">
        <f>E18+B3*E36/(E36+E30)*E17</f>
        <v>33.815548347630887</v>
      </c>
      <c r="H16" t="s">
        <v>63</v>
      </c>
      <c r="I16">
        <v>33.799999999999997</v>
      </c>
      <c r="J16">
        <v>33.5</v>
      </c>
      <c r="K16" s="13">
        <f>(I16-J16)/J16</f>
        <v>8.9552238805969304E-3</v>
      </c>
      <c r="M16" s="15">
        <v>32.5</v>
      </c>
      <c r="N16" s="13">
        <f>ABS(I16-M16)/M16</f>
        <v>3.9999999999999911E-2</v>
      </c>
    </row>
    <row r="17" spans="1:14" ht="28.8" x14ac:dyDescent="0.35">
      <c r="A17" t="s">
        <v>37</v>
      </c>
      <c r="B17">
        <v>0</v>
      </c>
      <c r="C17" s="10" t="s">
        <v>39</v>
      </c>
      <c r="D17" t="s">
        <v>35</v>
      </c>
      <c r="E17">
        <f>B17/B16/B18*1000</f>
        <v>0</v>
      </c>
      <c r="H17" t="s">
        <v>70</v>
      </c>
      <c r="I17">
        <v>33.799999999999997</v>
      </c>
      <c r="J17">
        <v>33.5</v>
      </c>
      <c r="K17" s="13">
        <f t="shared" ref="K17:K20" si="0">(I17-J17)/J17</f>
        <v>8.9552238805969304E-3</v>
      </c>
      <c r="M17" s="15">
        <v>32.5</v>
      </c>
      <c r="N17" s="13">
        <f t="shared" ref="N17:N20" si="1">(I17-M17)/M17</f>
        <v>3.9999999999999911E-2</v>
      </c>
    </row>
    <row r="18" spans="1:14" ht="16.2" x14ac:dyDescent="0.35">
      <c r="A18" t="s">
        <v>38</v>
      </c>
      <c r="B18">
        <f>B11*B12</f>
        <v>9.5360560000000003</v>
      </c>
      <c r="D18" t="s">
        <v>17</v>
      </c>
      <c r="E18">
        <f>E22+B3*E36/(E36+E30)*E21</f>
        <v>33.815548347630887</v>
      </c>
      <c r="H18" t="s">
        <v>71</v>
      </c>
      <c r="I18">
        <v>31.6</v>
      </c>
      <c r="J18">
        <v>32.6</v>
      </c>
      <c r="K18" s="13">
        <f t="shared" si="0"/>
        <v>-3.0674846625766871E-2</v>
      </c>
      <c r="M18" s="15">
        <v>31.7</v>
      </c>
      <c r="N18" s="13">
        <f t="shared" si="1"/>
        <v>-3.1545741324920462E-3</v>
      </c>
    </row>
    <row r="19" spans="1:14" ht="16.2" x14ac:dyDescent="0.35">
      <c r="H19" t="s">
        <v>72</v>
      </c>
      <c r="I19">
        <v>33.799999999999997</v>
      </c>
      <c r="J19">
        <v>33.5</v>
      </c>
      <c r="K19" s="13">
        <f t="shared" si="0"/>
        <v>8.9552238805969304E-3</v>
      </c>
      <c r="M19" s="15">
        <v>32.5</v>
      </c>
      <c r="N19" s="13">
        <f t="shared" si="1"/>
        <v>3.9999999999999911E-2</v>
      </c>
    </row>
    <row r="20" spans="1:14" ht="16.2" x14ac:dyDescent="0.35">
      <c r="A20" s="41" t="s">
        <v>3</v>
      </c>
      <c r="B20" s="41"/>
      <c r="H20" t="s">
        <v>74</v>
      </c>
      <c r="I20">
        <v>33.799999999999997</v>
      </c>
      <c r="J20">
        <v>30.6</v>
      </c>
      <c r="K20" s="13">
        <f t="shared" si="0"/>
        <v>0.10457516339869266</v>
      </c>
      <c r="M20" s="15">
        <v>32.5</v>
      </c>
      <c r="N20" s="13">
        <f t="shared" si="1"/>
        <v>3.9999999999999911E-2</v>
      </c>
    </row>
    <row r="21" spans="1:14" ht="16.2" x14ac:dyDescent="0.35">
      <c r="A21" t="s">
        <v>7</v>
      </c>
      <c r="B21">
        <v>0.2</v>
      </c>
      <c r="D21" t="s">
        <v>32</v>
      </c>
      <c r="E21">
        <f>B22/B21/B24*1000</f>
        <v>117.41814278046162</v>
      </c>
    </row>
    <row r="22" spans="1:14" ht="16.2" x14ac:dyDescent="0.35">
      <c r="A22" t="s">
        <v>8</v>
      </c>
      <c r="B22">
        <v>0.52500000000000002</v>
      </c>
      <c r="D22" t="s">
        <v>16</v>
      </c>
      <c r="E22">
        <f>L6</f>
        <v>31.55670652407639</v>
      </c>
    </row>
    <row r="23" spans="1:14" x14ac:dyDescent="0.25">
      <c r="A23" t="s">
        <v>27</v>
      </c>
      <c r="B23">
        <v>324</v>
      </c>
    </row>
    <row r="24" spans="1:14" x14ac:dyDescent="0.25">
      <c r="A24" t="s">
        <v>28</v>
      </c>
      <c r="B24">
        <f>B23*B4</f>
        <v>22.356000000000002</v>
      </c>
    </row>
    <row r="26" spans="1:14" x14ac:dyDescent="0.25">
      <c r="A26" s="41" t="s">
        <v>12</v>
      </c>
      <c r="B26" s="41"/>
    </row>
    <row r="27" spans="1:14" ht="16.2" x14ac:dyDescent="0.35">
      <c r="A27" t="s">
        <v>15</v>
      </c>
      <c r="B27">
        <f>L4</f>
        <v>131.24137365582615</v>
      </c>
      <c r="D27" t="s">
        <v>34</v>
      </c>
      <c r="E27">
        <f>1/B27/B29*1000000</f>
        <v>340.82789453672984</v>
      </c>
    </row>
    <row r="28" spans="1:14" ht="16.2" x14ac:dyDescent="0.35">
      <c r="A28" t="s">
        <v>29</v>
      </c>
      <c r="B28">
        <v>324</v>
      </c>
      <c r="D28" t="s">
        <v>19</v>
      </c>
      <c r="E28">
        <f>B5</f>
        <v>25</v>
      </c>
    </row>
    <row r="29" spans="1:14" x14ac:dyDescent="0.25">
      <c r="A29" t="s">
        <v>14</v>
      </c>
      <c r="B29">
        <f>B28*B4</f>
        <v>22.356000000000002</v>
      </c>
    </row>
    <row r="30" spans="1:14" x14ac:dyDescent="0.25">
      <c r="D30" t="s">
        <v>60</v>
      </c>
      <c r="E30">
        <f>E7+E17+E21+E27</f>
        <v>458.37711876218299</v>
      </c>
    </row>
    <row r="32" spans="1:14" ht="16.2" x14ac:dyDescent="0.35">
      <c r="A32" s="41" t="s">
        <v>25</v>
      </c>
      <c r="B32" s="41"/>
    </row>
    <row r="33" spans="1:5" ht="16.2" x14ac:dyDescent="0.35">
      <c r="A33" t="s">
        <v>7</v>
      </c>
      <c r="B33">
        <v>13.5</v>
      </c>
      <c r="D33" t="s">
        <v>58</v>
      </c>
      <c r="E33">
        <f>B34/B36/B33*1000</f>
        <v>1.325354698051066</v>
      </c>
    </row>
    <row r="34" spans="1:5" ht="16.2" x14ac:dyDescent="0.35">
      <c r="A34" t="s">
        <v>8</v>
      </c>
      <c r="B34">
        <v>0.4</v>
      </c>
      <c r="D34" t="s">
        <v>59</v>
      </c>
      <c r="E34">
        <f>E28+B3*E30/(E30+E36)*E27</f>
        <v>33.780548730076447</v>
      </c>
    </row>
    <row r="35" spans="1:5" ht="16.2" x14ac:dyDescent="0.35">
      <c r="A35" t="s">
        <v>27</v>
      </c>
      <c r="B35">
        <f>324</f>
        <v>324</v>
      </c>
      <c r="D35" t="s">
        <v>73</v>
      </c>
      <c r="E35">
        <f>E34+B3*E30/(E30+E36)*E33</f>
        <v>33.814693064203475</v>
      </c>
    </row>
    <row r="36" spans="1:5" x14ac:dyDescent="0.25">
      <c r="A36" t="s">
        <v>9</v>
      </c>
      <c r="B36">
        <f>B35*B4</f>
        <v>22.356000000000002</v>
      </c>
      <c r="D36" t="s">
        <v>33</v>
      </c>
      <c r="E36">
        <f>E8+E33+E27</f>
        <v>342.28433067977244</v>
      </c>
    </row>
    <row r="38" spans="1:5" x14ac:dyDescent="0.25">
      <c r="D38" t="s">
        <v>61</v>
      </c>
      <c r="E38">
        <f>E35+B3*E30/(E30+E35)*E8</f>
        <v>33.820186477571113</v>
      </c>
    </row>
  </sheetData>
  <mergeCells count="10">
    <mergeCell ref="A26:B26"/>
    <mergeCell ref="A32:B32"/>
    <mergeCell ref="H1:L1"/>
    <mergeCell ref="H2:I2"/>
    <mergeCell ref="K2:L2"/>
    <mergeCell ref="A1:E1"/>
    <mergeCell ref="A2:B2"/>
    <mergeCell ref="D2:E2"/>
    <mergeCell ref="A20:B20"/>
    <mergeCell ref="A15:B15"/>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4B139-C98A-4E7E-B116-39E178500EE8}">
  <dimension ref="A1:O37"/>
  <sheetViews>
    <sheetView workbookViewId="0">
      <selection activeCell="B19" sqref="B19"/>
    </sheetView>
  </sheetViews>
  <sheetFormatPr defaultRowHeight="13.8" x14ac:dyDescent="0.25"/>
  <cols>
    <col min="1" max="1" width="49.77734375" customWidth="1"/>
    <col min="3" max="3" width="31.44140625" customWidth="1"/>
    <col min="4" max="4" width="25.109375" customWidth="1"/>
    <col min="5" max="5" width="10.77734375" customWidth="1"/>
    <col min="8" max="8" width="49" customWidth="1"/>
    <col min="9" max="9" width="16.44140625" customWidth="1"/>
    <col min="10" max="10" width="19.6640625" customWidth="1"/>
    <col min="11" max="11" width="16.6640625" customWidth="1"/>
    <col min="12" max="12" width="14.44140625" customWidth="1"/>
    <col min="13" max="13" width="14.21875" customWidth="1"/>
    <col min="14" max="14" width="14.88671875" customWidth="1"/>
    <col min="15" max="15" width="16.33203125" customWidth="1"/>
  </cols>
  <sheetData>
    <row r="1" spans="1:15" x14ac:dyDescent="0.25">
      <c r="A1" s="42" t="s">
        <v>57</v>
      </c>
      <c r="B1" s="42"/>
      <c r="C1" s="42"/>
      <c r="D1" s="42"/>
      <c r="E1" s="42"/>
      <c r="H1" s="44" t="s">
        <v>41</v>
      </c>
      <c r="I1" s="45"/>
      <c r="J1" s="45"/>
      <c r="K1" s="45"/>
      <c r="L1" s="46"/>
    </row>
    <row r="2" spans="1:15" x14ac:dyDescent="0.25">
      <c r="A2" s="41" t="s">
        <v>0</v>
      </c>
      <c r="B2" s="41"/>
      <c r="C2" s="1" t="s">
        <v>56</v>
      </c>
      <c r="D2" s="41" t="s">
        <v>2</v>
      </c>
      <c r="E2" s="41"/>
      <c r="H2" s="47" t="s">
        <v>0</v>
      </c>
      <c r="I2" s="41"/>
      <c r="J2" s="1" t="s">
        <v>56</v>
      </c>
      <c r="K2" s="41" t="s">
        <v>2</v>
      </c>
      <c r="L2" s="48"/>
    </row>
    <row r="3" spans="1:15" ht="16.2" x14ac:dyDescent="0.25">
      <c r="A3" s="16" t="s">
        <v>77</v>
      </c>
      <c r="B3">
        <v>0.21</v>
      </c>
      <c r="H3" s="4" t="s">
        <v>42</v>
      </c>
      <c r="I3" s="12">
        <f>I12^(0.5)</f>
        <v>1.0204520145747112E-2</v>
      </c>
      <c r="K3" t="s">
        <v>43</v>
      </c>
      <c r="L3" s="5">
        <f>I4*I3/I8</f>
        <v>3188.9125455459725</v>
      </c>
    </row>
    <row r="4" spans="1:15" ht="16.2" x14ac:dyDescent="0.35">
      <c r="A4" s="16" t="s">
        <v>76</v>
      </c>
      <c r="B4">
        <v>0.65339999999999998</v>
      </c>
      <c r="H4" s="4" t="s">
        <v>44</v>
      </c>
      <c r="I4">
        <v>5</v>
      </c>
      <c r="K4" t="s">
        <v>45</v>
      </c>
      <c r="L4" s="5">
        <f>IF(L3&gt;5*10^5,(0.037*L3^0.8-870)*I10^(1/3)*I9/I3,0.664*I9/I3*L3^0.5*I10^(1/3))</f>
        <v>87.152676798552989</v>
      </c>
    </row>
    <row r="5" spans="1:15" ht="14.4" x14ac:dyDescent="0.25">
      <c r="A5" s="17" t="s">
        <v>26</v>
      </c>
      <c r="B5">
        <f>B3/B4</f>
        <v>0.32139577594123048</v>
      </c>
      <c r="H5" s="4" t="s">
        <v>46</v>
      </c>
      <c r="I5">
        <f>B6</f>
        <v>25</v>
      </c>
      <c r="L5" s="5"/>
    </row>
    <row r="6" spans="1:15" ht="42.6" x14ac:dyDescent="0.35">
      <c r="A6" s="3" t="s">
        <v>18</v>
      </c>
      <c r="B6">
        <v>25</v>
      </c>
      <c r="H6" s="4" t="s">
        <v>81</v>
      </c>
      <c r="I6">
        <v>35.299999999999997</v>
      </c>
      <c r="J6" s="10" t="s">
        <v>48</v>
      </c>
      <c r="K6" t="s">
        <v>49</v>
      </c>
      <c r="L6" s="5">
        <f>I11/I12/L4+I5</f>
        <v>35.449479371360219</v>
      </c>
    </row>
    <row r="7" spans="1:15" x14ac:dyDescent="0.25">
      <c r="A7" s="3" t="s">
        <v>13</v>
      </c>
      <c r="B7">
        <v>5</v>
      </c>
      <c r="H7" s="4" t="s">
        <v>50</v>
      </c>
      <c r="I7">
        <f>(I5+I6)/2</f>
        <v>30.15</v>
      </c>
      <c r="L7" s="5"/>
    </row>
    <row r="8" spans="1:15" x14ac:dyDescent="0.25">
      <c r="A8" t="s">
        <v>21</v>
      </c>
      <c r="D8" t="s">
        <v>30</v>
      </c>
      <c r="E8">
        <f>IF(B8=0,B14/2/B10/B12/B13*1000,B8)</f>
        <v>0.17068195977026213</v>
      </c>
      <c r="H8" s="4" t="s">
        <v>51</v>
      </c>
      <c r="I8" s="12">
        <v>1.5999999999999999E-5</v>
      </c>
      <c r="J8" t="s">
        <v>52</v>
      </c>
      <c r="L8" s="5"/>
    </row>
    <row r="9" spans="1:15" x14ac:dyDescent="0.25">
      <c r="A9" t="s">
        <v>22</v>
      </c>
      <c r="D9" t="s">
        <v>31</v>
      </c>
      <c r="E9">
        <f>IF(B9=0,B14/2/B10/B12/B13*1000,B9)</f>
        <v>0.17068195977026213</v>
      </c>
      <c r="H9" s="4" t="s">
        <v>53</v>
      </c>
      <c r="I9">
        <v>2.6700000000000002E-2</v>
      </c>
      <c r="J9" t="s">
        <v>52</v>
      </c>
      <c r="L9" s="5"/>
    </row>
    <row r="10" spans="1:15" x14ac:dyDescent="0.25">
      <c r="A10" t="s">
        <v>36</v>
      </c>
      <c r="B10">
        <v>150</v>
      </c>
      <c r="D10" s="18" t="s">
        <v>40</v>
      </c>
      <c r="E10" s="18">
        <f>E31*E37/(E31+E37)</f>
        <v>60.678171139993943</v>
      </c>
      <c r="H10" s="4" t="s">
        <v>54</v>
      </c>
      <c r="I10">
        <v>0.70099999999999996</v>
      </c>
      <c r="J10" t="s">
        <v>52</v>
      </c>
      <c r="L10" s="5"/>
    </row>
    <row r="11" spans="1:15" x14ac:dyDescent="0.25">
      <c r="A11" t="s">
        <v>23</v>
      </c>
      <c r="B11">
        <v>125</v>
      </c>
      <c r="D11" s="18" t="s">
        <v>82</v>
      </c>
      <c r="E11" s="18">
        <f>E17+B3*E37/(E37+E31)*E8</f>
        <v>37.742415939398725</v>
      </c>
      <c r="H11" s="4" t="s">
        <v>79</v>
      </c>
      <c r="I11">
        <f>B3*E37/(E31+E37)</f>
        <v>9.4833233383494447E-2</v>
      </c>
      <c r="L11" s="5"/>
    </row>
    <row r="12" spans="1:15" ht="14.4" thickBot="1" x14ac:dyDescent="0.3">
      <c r="A12" t="s">
        <v>4</v>
      </c>
      <c r="B12">
        <v>2.78</v>
      </c>
      <c r="H12" s="6" t="s">
        <v>55</v>
      </c>
      <c r="I12" s="11">
        <f>B15*B5*0.000001</f>
        <v>1.0413223140495867E-4</v>
      </c>
      <c r="J12" s="7"/>
      <c r="K12" s="7"/>
      <c r="L12" s="8"/>
    </row>
    <row r="13" spans="1:15" x14ac:dyDescent="0.25">
      <c r="A13" t="s">
        <v>5</v>
      </c>
      <c r="B13">
        <v>2.81</v>
      </c>
    </row>
    <row r="14" spans="1:15" x14ac:dyDescent="0.25">
      <c r="A14" t="s">
        <v>6</v>
      </c>
      <c r="B14">
        <v>0.4</v>
      </c>
    </row>
    <row r="15" spans="1:15" ht="45" customHeight="1" x14ac:dyDescent="0.25">
      <c r="A15" t="s">
        <v>78</v>
      </c>
      <c r="B15">
        <v>324</v>
      </c>
      <c r="H15" s="10" t="s">
        <v>64</v>
      </c>
      <c r="I15" s="10" t="s">
        <v>65</v>
      </c>
      <c r="J15" s="10" t="s">
        <v>68</v>
      </c>
      <c r="K15" s="10" t="s">
        <v>66</v>
      </c>
      <c r="L15" s="10" t="s">
        <v>67</v>
      </c>
      <c r="M15" s="14" t="s">
        <v>69</v>
      </c>
      <c r="N15" s="10" t="s">
        <v>66</v>
      </c>
      <c r="O15" s="10" t="s">
        <v>67</v>
      </c>
    </row>
    <row r="16" spans="1:15" x14ac:dyDescent="0.25">
      <c r="A16" s="41" t="s">
        <v>10</v>
      </c>
      <c r="B16" s="41"/>
      <c r="H16" t="s">
        <v>75</v>
      </c>
      <c r="I16">
        <v>37.700000000000003</v>
      </c>
      <c r="J16">
        <v>37.5</v>
      </c>
      <c r="K16" s="13">
        <f>(I16-J16)/J16</f>
        <v>5.3333333333334095E-3</v>
      </c>
      <c r="M16" s="15">
        <v>35.9</v>
      </c>
      <c r="N16" s="13">
        <f>ABS(I16-M16)/M16</f>
        <v>5.0139275766016837E-2</v>
      </c>
    </row>
    <row r="17" spans="1:14" ht="16.2" x14ac:dyDescent="0.35">
      <c r="A17" t="s">
        <v>11</v>
      </c>
      <c r="B17">
        <v>2.5999999999999999E-2</v>
      </c>
      <c r="D17" t="s">
        <v>20</v>
      </c>
      <c r="E17">
        <f>E19+B3*E37/(E37+E31)*E18</f>
        <v>37.726229617273482</v>
      </c>
      <c r="H17" t="s">
        <v>70</v>
      </c>
      <c r="I17">
        <v>37.700000000000003</v>
      </c>
      <c r="J17">
        <v>37.5</v>
      </c>
      <c r="K17" s="13">
        <f>(I17-J17)/J17</f>
        <v>5.3333333333334095E-3</v>
      </c>
      <c r="M17" s="15">
        <v>35.799999999999997</v>
      </c>
      <c r="N17" s="13">
        <f>(I17-M17)/M17</f>
        <v>5.3072625698324188E-2</v>
      </c>
    </row>
    <row r="18" spans="1:14" ht="28.8" x14ac:dyDescent="0.35">
      <c r="A18" t="s">
        <v>37</v>
      </c>
      <c r="B18">
        <v>0</v>
      </c>
      <c r="C18" s="10" t="s">
        <v>39</v>
      </c>
      <c r="D18" t="s">
        <v>35</v>
      </c>
      <c r="E18">
        <f>B18/B17/B19*1000</f>
        <v>0</v>
      </c>
      <c r="H18" t="s">
        <v>71</v>
      </c>
      <c r="I18">
        <v>35.4</v>
      </c>
      <c r="J18">
        <v>36</v>
      </c>
      <c r="K18" s="13">
        <f>(I18-J18)/J18</f>
        <v>-1.6666666666666705E-2</v>
      </c>
      <c r="M18" s="15">
        <v>34.6</v>
      </c>
      <c r="N18" s="13">
        <f>(I18-M18)/M18</f>
        <v>2.312138728323691E-2</v>
      </c>
    </row>
    <row r="19" spans="1:14" ht="16.2" x14ac:dyDescent="0.35">
      <c r="A19" t="s">
        <v>38</v>
      </c>
      <c r="B19">
        <f>B12*B13</f>
        <v>7.8117999999999999</v>
      </c>
      <c r="D19" s="18" t="s">
        <v>83</v>
      </c>
      <c r="E19" s="18">
        <f>E23+B3*E37/(E37+E31)*E22</f>
        <v>37.726229617273482</v>
      </c>
      <c r="H19" t="s">
        <v>72</v>
      </c>
      <c r="I19">
        <v>37.700000000000003</v>
      </c>
      <c r="J19">
        <v>37.5</v>
      </c>
      <c r="K19" s="13">
        <f>(I19-J19)/J19</f>
        <v>5.3333333333334095E-3</v>
      </c>
      <c r="M19" s="15">
        <v>35.799999999999997</v>
      </c>
      <c r="N19" s="13">
        <f>(I19-M19)/M19</f>
        <v>5.3072625698324188E-2</v>
      </c>
    </row>
    <row r="20" spans="1:14" ht="16.2" x14ac:dyDescent="0.35">
      <c r="H20" t="s">
        <v>74</v>
      </c>
      <c r="I20">
        <v>37.700000000000003</v>
      </c>
      <c r="J20">
        <v>34.799999999999997</v>
      </c>
      <c r="K20" s="13">
        <f>(I20-J20)/J20</f>
        <v>8.3333333333333509E-2</v>
      </c>
      <c r="M20" s="15">
        <v>35.799999999999997</v>
      </c>
      <c r="N20" s="13">
        <f>(I20-M20)/M20</f>
        <v>5.3072625698324188E-2</v>
      </c>
    </row>
    <row r="21" spans="1:14" x14ac:dyDescent="0.25">
      <c r="A21" s="41" t="s">
        <v>3</v>
      </c>
      <c r="B21" s="41"/>
    </row>
    <row r="22" spans="1:14" ht="16.2" x14ac:dyDescent="0.35">
      <c r="A22" t="s">
        <v>7</v>
      </c>
      <c r="B22">
        <v>0.2</v>
      </c>
      <c r="D22" s="18" t="s">
        <v>84</v>
      </c>
      <c r="E22" s="18">
        <f>(B23-B14)/B22/B25*1000</f>
        <v>24.00793650793651</v>
      </c>
    </row>
    <row r="23" spans="1:14" ht="16.2" x14ac:dyDescent="0.35">
      <c r="A23" t="s">
        <v>8</v>
      </c>
      <c r="B23">
        <v>0.9</v>
      </c>
      <c r="D23" s="18" t="s">
        <v>85</v>
      </c>
      <c r="E23" s="18">
        <f>L6</f>
        <v>35.449479371360219</v>
      </c>
    </row>
    <row r="24" spans="1:14" x14ac:dyDescent="0.25">
      <c r="A24" t="s">
        <v>27</v>
      </c>
      <c r="B24">
        <v>324</v>
      </c>
    </row>
    <row r="25" spans="1:14" x14ac:dyDescent="0.25">
      <c r="A25" t="s">
        <v>28</v>
      </c>
      <c r="B25">
        <f>B24*B5</f>
        <v>104.13223140495867</v>
      </c>
    </row>
    <row r="27" spans="1:14" x14ac:dyDescent="0.25">
      <c r="A27" s="41" t="s">
        <v>12</v>
      </c>
      <c r="B27" s="41"/>
    </row>
    <row r="28" spans="1:14" ht="16.2" x14ac:dyDescent="0.35">
      <c r="A28" t="s">
        <v>15</v>
      </c>
      <c r="B28">
        <f>L4</f>
        <v>87.152676798552989</v>
      </c>
      <c r="D28" s="18" t="s">
        <v>86</v>
      </c>
      <c r="E28" s="18">
        <f>1/B28/B30*1000000</f>
        <v>110.18794781681389</v>
      </c>
    </row>
    <row r="29" spans="1:14" ht="16.2" x14ac:dyDescent="0.35">
      <c r="A29" t="s">
        <v>29</v>
      </c>
      <c r="B29">
        <v>324</v>
      </c>
      <c r="D29" t="s">
        <v>19</v>
      </c>
      <c r="E29">
        <f>B6</f>
        <v>25</v>
      </c>
    </row>
    <row r="30" spans="1:14" x14ac:dyDescent="0.25">
      <c r="A30" t="s">
        <v>14</v>
      </c>
      <c r="B30">
        <f>B29*B5</f>
        <v>104.13223140495867</v>
      </c>
    </row>
    <row r="31" spans="1:14" x14ac:dyDescent="0.25">
      <c r="D31" t="s">
        <v>60</v>
      </c>
      <c r="E31">
        <f>E8+E18+E22+E28</f>
        <v>134.36656628452067</v>
      </c>
    </row>
    <row r="33" spans="1:5" ht="16.2" x14ac:dyDescent="0.35">
      <c r="A33" s="41" t="s">
        <v>25</v>
      </c>
      <c r="B33" s="41"/>
    </row>
    <row r="34" spans="1:5" ht="16.2" x14ac:dyDescent="0.35">
      <c r="A34" t="s">
        <v>7</v>
      </c>
      <c r="B34">
        <v>13.5</v>
      </c>
      <c r="D34" t="s">
        <v>58</v>
      </c>
      <c r="E34" s="19">
        <f>B35/B37/B34*1000</f>
        <v>0.284538506760729</v>
      </c>
    </row>
    <row r="35" spans="1:5" ht="28.8" x14ac:dyDescent="0.35">
      <c r="A35" t="s">
        <v>8</v>
      </c>
      <c r="B35">
        <v>0.4</v>
      </c>
      <c r="C35" s="10" t="s">
        <v>80</v>
      </c>
      <c r="D35" t="s">
        <v>59</v>
      </c>
      <c r="E35" s="19">
        <f>E36-B3*E31/(E31+E37)*E34</f>
        <v>37.689989670170696</v>
      </c>
    </row>
    <row r="36" spans="1:5" ht="16.2" x14ac:dyDescent="0.35">
      <c r="A36" t="s">
        <v>27</v>
      </c>
      <c r="B36">
        <f>324</f>
        <v>324</v>
      </c>
      <c r="D36" t="s">
        <v>73</v>
      </c>
      <c r="E36" s="19">
        <f>E11-B3*E31/(E31+E37)*E9</f>
        <v>37.722759049972218</v>
      </c>
    </row>
    <row r="37" spans="1:5" x14ac:dyDescent="0.25">
      <c r="A37" t="s">
        <v>9</v>
      </c>
      <c r="B37">
        <f>B36*B5</f>
        <v>104.13223140495867</v>
      </c>
      <c r="D37" t="s">
        <v>33</v>
      </c>
      <c r="E37">
        <f>E9+E34+E28</f>
        <v>110.64316828334488</v>
      </c>
    </row>
  </sheetData>
  <mergeCells count="10">
    <mergeCell ref="A16:B16"/>
    <mergeCell ref="A21:B21"/>
    <mergeCell ref="A27:B27"/>
    <mergeCell ref="A33:B33"/>
    <mergeCell ref="A1:E1"/>
    <mergeCell ref="H1:L1"/>
    <mergeCell ref="A2:B2"/>
    <mergeCell ref="D2:E2"/>
    <mergeCell ref="H2:I2"/>
    <mergeCell ref="K2:L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217B6-F7B4-4730-822E-0684DA5124A6}">
  <dimension ref="A1:U40"/>
  <sheetViews>
    <sheetView zoomScale="85" zoomScaleNormal="85" workbookViewId="0">
      <selection activeCell="E10" sqref="E10"/>
    </sheetView>
  </sheetViews>
  <sheetFormatPr defaultRowHeight="13.8" x14ac:dyDescent="0.25"/>
  <cols>
    <col min="1" max="1" width="49.77734375" customWidth="1"/>
    <col min="3" max="3" width="31.44140625" customWidth="1"/>
    <col min="4" max="4" width="26.33203125" customWidth="1"/>
    <col min="5" max="5" width="10.77734375" customWidth="1"/>
    <col min="8" max="8" width="49" customWidth="1"/>
    <col min="9" max="9" width="16.44140625" customWidth="1"/>
    <col min="10" max="10" width="25.88671875" customWidth="1"/>
    <col min="11" max="11" width="16.6640625" customWidth="1"/>
    <col min="12" max="12" width="14.44140625" customWidth="1"/>
    <col min="13" max="13" width="14.21875" customWidth="1"/>
    <col min="14" max="14" width="14.88671875" customWidth="1"/>
    <col min="15" max="15" width="16.33203125" customWidth="1"/>
    <col min="18" max="18" width="9.44140625" customWidth="1"/>
    <col min="19" max="19" width="15" customWidth="1"/>
    <col min="20" max="20" width="18.88671875" customWidth="1"/>
    <col min="21" max="21" width="6.44140625" customWidth="1"/>
  </cols>
  <sheetData>
    <row r="1" spans="1:21" x14ac:dyDescent="0.25">
      <c r="A1" s="42" t="s">
        <v>93</v>
      </c>
      <c r="B1" s="42"/>
      <c r="C1" s="42"/>
      <c r="D1" s="42"/>
      <c r="E1" s="42"/>
      <c r="H1" s="43" t="s">
        <v>41</v>
      </c>
      <c r="I1" s="43"/>
      <c r="J1" s="43"/>
      <c r="K1" s="43"/>
      <c r="L1" s="43"/>
      <c r="R1" s="40" t="s">
        <v>88</v>
      </c>
      <c r="S1" s="40"/>
      <c r="T1" s="40"/>
      <c r="U1" s="40"/>
    </row>
    <row r="2" spans="1:21" x14ac:dyDescent="0.25">
      <c r="A2" s="41" t="s">
        <v>0</v>
      </c>
      <c r="B2" s="41"/>
      <c r="C2" s="1" t="s">
        <v>56</v>
      </c>
      <c r="D2" s="41" t="s">
        <v>2</v>
      </c>
      <c r="E2" s="41"/>
      <c r="H2" s="40" t="s">
        <v>0</v>
      </c>
      <c r="I2" s="40"/>
      <c r="J2" s="26" t="s">
        <v>56</v>
      </c>
      <c r="K2" s="40" t="s">
        <v>2</v>
      </c>
      <c r="L2" s="40"/>
      <c r="R2" s="22" t="s">
        <v>89</v>
      </c>
      <c r="S2" s="22" t="s">
        <v>90</v>
      </c>
      <c r="T2" s="22" t="s">
        <v>91</v>
      </c>
      <c r="U2" s="23" t="s">
        <v>54</v>
      </c>
    </row>
    <row r="3" spans="1:21" ht="16.2" x14ac:dyDescent="0.25">
      <c r="A3" s="16" t="s">
        <v>77</v>
      </c>
      <c r="B3">
        <v>8.4000000000000005E-2</v>
      </c>
      <c r="H3" s="28" t="s">
        <v>42</v>
      </c>
      <c r="I3" s="29">
        <f>I12^(0.5)</f>
        <v>6.4539052179268547E-3</v>
      </c>
      <c r="J3" s="22"/>
      <c r="K3" s="22" t="s">
        <v>43</v>
      </c>
      <c r="L3" s="22">
        <f ca="1">I4*I3/I8</f>
        <v>2029.5861378706188</v>
      </c>
      <c r="R3" s="22">
        <v>0</v>
      </c>
      <c r="S3" s="24">
        <v>1.328E-5</v>
      </c>
      <c r="T3" s="25">
        <v>2.4400000000000002E-2</v>
      </c>
      <c r="U3" s="22">
        <v>0.70699999999999996</v>
      </c>
    </row>
    <row r="4" spans="1:21" ht="16.2" x14ac:dyDescent="0.35">
      <c r="A4" s="16" t="s">
        <v>76</v>
      </c>
      <c r="B4">
        <v>0.65339999999999998</v>
      </c>
      <c r="H4" s="22" t="s">
        <v>44</v>
      </c>
      <c r="I4" s="22">
        <v>5</v>
      </c>
      <c r="J4" s="22"/>
      <c r="K4" s="22" t="s">
        <v>45</v>
      </c>
      <c r="L4" s="22">
        <f ca="1">IF(L3&gt;5*10^5,(0.037*L3^0.8-870)*I10^(1/3)*I9/I3,0.664*I9/I3*L3^0.5*I10^(1/3))</f>
        <v>109.59346523808698</v>
      </c>
      <c r="R4" s="22">
        <v>10</v>
      </c>
      <c r="S4" s="24">
        <v>1.416E-5</v>
      </c>
      <c r="T4" s="25">
        <v>2.5100000000000001E-2</v>
      </c>
      <c r="U4" s="22">
        <v>0.70499999999999996</v>
      </c>
    </row>
    <row r="5" spans="1:21" ht="14.4" x14ac:dyDescent="0.25">
      <c r="A5" s="17" t="s">
        <v>26</v>
      </c>
      <c r="B5">
        <f>B3/B4</f>
        <v>0.12855831037649221</v>
      </c>
      <c r="H5" s="22" t="s">
        <v>46</v>
      </c>
      <c r="I5" s="22">
        <v>25</v>
      </c>
      <c r="J5" s="22"/>
      <c r="K5" s="22"/>
      <c r="L5" s="22"/>
      <c r="R5" s="22">
        <v>20</v>
      </c>
      <c r="S5" s="24">
        <v>1.506E-5</v>
      </c>
      <c r="T5" s="25">
        <v>2.5899999999999999E-2</v>
      </c>
      <c r="U5" s="22">
        <v>0.70299999999999996</v>
      </c>
    </row>
    <row r="6" spans="1:21" ht="56.4" x14ac:dyDescent="0.35">
      <c r="A6" s="3" t="s">
        <v>18</v>
      </c>
      <c r="B6">
        <v>25</v>
      </c>
      <c r="H6" s="37" t="s">
        <v>81</v>
      </c>
      <c r="I6" s="37">
        <f ca="1">IF(ABS(L6-I6)&lt;0.2,I6,I6+(L6-I6)/2)</f>
        <v>32.862973643153509</v>
      </c>
      <c r="J6" s="30" t="s">
        <v>109</v>
      </c>
      <c r="K6" s="22" t="s">
        <v>49</v>
      </c>
      <c r="L6" s="22">
        <f ca="1">I11/I12/L4+I5</f>
        <v>32.985395273375048</v>
      </c>
      <c r="R6" s="22">
        <v>30</v>
      </c>
      <c r="S6" s="24">
        <v>1.5999999999999999E-5</v>
      </c>
      <c r="T6" s="25">
        <v>2.6700000000000002E-2</v>
      </c>
      <c r="U6" s="22">
        <v>0.70099999999999996</v>
      </c>
    </row>
    <row r="7" spans="1:21" x14ac:dyDescent="0.25">
      <c r="A7" s="3" t="s">
        <v>13</v>
      </c>
      <c r="B7">
        <v>5</v>
      </c>
      <c r="H7" s="28" t="s">
        <v>50</v>
      </c>
      <c r="I7" s="28">
        <f ca="1">(I5+I6)/2</f>
        <v>28.931486821576755</v>
      </c>
      <c r="J7" s="22"/>
      <c r="K7" s="22"/>
      <c r="L7" s="22"/>
      <c r="R7" s="22">
        <v>40</v>
      </c>
      <c r="S7" s="24">
        <v>1.696E-5</v>
      </c>
      <c r="T7" s="25">
        <v>2.76E-2</v>
      </c>
      <c r="U7" s="22">
        <v>0.69899999999999995</v>
      </c>
    </row>
    <row r="8" spans="1:21" x14ac:dyDescent="0.25">
      <c r="A8" t="s">
        <v>21</v>
      </c>
      <c r="D8" t="s">
        <v>30</v>
      </c>
      <c r="E8">
        <f>IF(B8=0,B14/2/B10/B12/B13*1000,B8)</f>
        <v>2.685546875</v>
      </c>
      <c r="H8" s="31" t="s">
        <v>51</v>
      </c>
      <c r="I8" s="32">
        <f ca="1">IF(AND(R3&lt;=I7,I7&lt;R4),S3+(S4-S3)*(I7-R3)/(R4-R3),IF(AND(R4&lt;=I7,I7&lt;R5),S4+(S5-S4)*(I7-R4)/(R5-R4),IF(AND(R5&lt;=I7,I7&lt;R6),S5+(S6-S5)*(I7-R5)/(R6-R5),IF(AND(R6&lt;=I7,I7&lt;R7),S6+(S7-S6)*(I7-R6)/(R7-R6),IF(AND(R7&lt;=I7,I7&lt;R8),S7+(S8-S7)*(I7-R7)/(R8-R7),IF(AND(R8&lt;=I7,I7&lt;R9),S8+(S9-S8)*(I7-R8)/(R9-R8),IF(AND(R9&lt;=I7,I7&lt;R10),S9+(S10-S9)*(I7-R9)/(R10-R9),IF(AND(R10&lt;=I7,I7&lt;=R11),S10+(S11-S10)*(I7-R10)/(R11-R10),"超出范围"))))))))</f>
        <v>1.5899559761228215E-5</v>
      </c>
      <c r="J8" s="31" t="s">
        <v>92</v>
      </c>
      <c r="K8" s="22"/>
      <c r="L8" s="22"/>
      <c r="R8" s="22">
        <v>50</v>
      </c>
      <c r="S8" s="24">
        <v>1.7949999999999999E-5</v>
      </c>
      <c r="T8" s="25">
        <v>2.8299999999999999E-2</v>
      </c>
      <c r="U8" s="22">
        <v>0.69799999999999995</v>
      </c>
    </row>
    <row r="9" spans="1:21" x14ac:dyDescent="0.25">
      <c r="A9" t="s">
        <v>22</v>
      </c>
      <c r="D9" t="s">
        <v>31</v>
      </c>
      <c r="E9">
        <f>IF(B9=0,B14/2/B10/B12/B13*1000,B9)</f>
        <v>2.685546875</v>
      </c>
      <c r="H9" s="31" t="s">
        <v>53</v>
      </c>
      <c r="I9" s="32">
        <f ca="1">IF(AND(R3&lt;=I7,I7&lt;R4),T3+(T4-T3)*(I7-R3)/(R4-R3),IF(AND(R4&lt;=I7,I7&lt;R5),T4+(T5-T4)*(I7-R4)/(R5-R4),IF(AND(R5&lt;=I7,I7&lt;R6),T5+(T6-T5)*(I7-R5)/(R6-R5),IF(AND(R6&lt;=I7,I7&lt;R7),T6+(T7-T6)*(I7-R6)/(R7-R6),IF(AND(R7&lt;=I7,I7&lt;R8),T7+(T8-T7)*(I7-R7)/(R8-R7),IF(AND(R8&lt;=I7,I7&lt;R9),T8+(T9-T8)*(I7-R8)/(R9-R8),IF(AND(R9&lt;=I7,I7&lt;R10),T9+(T10-T9)*(I7-R9)/(R10-R9),IF(AND(R10&lt;=I7,I7&lt;=R11),T10+(T11-T10)*(I7-R10)/(R11-R10),"超出范围"))))))))</f>
        <v>2.661451894572614E-2</v>
      </c>
      <c r="J9" s="31" t="s">
        <v>92</v>
      </c>
      <c r="K9" s="22"/>
      <c r="L9" s="22"/>
      <c r="R9" s="22">
        <v>60</v>
      </c>
      <c r="S9" s="24">
        <v>1.897E-5</v>
      </c>
      <c r="T9" s="25">
        <v>2.9000000000000001E-2</v>
      </c>
      <c r="U9" s="22">
        <v>0.69599999999999995</v>
      </c>
    </row>
    <row r="10" spans="1:21" x14ac:dyDescent="0.25">
      <c r="A10" t="s">
        <v>36</v>
      </c>
      <c r="B10">
        <v>150</v>
      </c>
      <c r="D10" s="18" t="s">
        <v>40</v>
      </c>
      <c r="E10" s="18">
        <f ca="1">E31*E37/(E31+E37)</f>
        <v>125.92213423258052</v>
      </c>
      <c r="H10" s="31" t="s">
        <v>54</v>
      </c>
      <c r="I10" s="32">
        <f ca="1">IF(AND(R3&lt;=I7,I7&lt;R4),U3+(U4-U3)*(I7-R3)/(R4-R3),IF(AND(R4&lt;=I7,I7&lt;R5),U4+(U5-U4)*(I7-R4)/(R5-R4),IF(AND(R5&lt;=I7,I7&lt;R6),U5+(U6-U5)*(I7-R5)/(R6-R5),IF(AND(R6&lt;=I7,I7&lt;R7),U6+(U7-U6)*(I7-R6)/(R7-R6),IF(AND(R7&lt;=I7,I7&lt;R8),U7+(U8-U7)*(I7-R7)/(R8-R7),IF(AND(R8&lt;=I7,I7&lt;R9),U8+(U9-U8)*(I7-R8)/(R9-R8),IF(AND(R9&lt;=I7,I7&lt;R10),U9+(U10-U9)*(I7-R9)/(R10-R9),IF(AND(R10&lt;=I7,I7&lt;=R11),U10+(U11-U10)*(I7-R10)/(R11-R10),"超出范围"))))))))</f>
        <v>0.70121370263568461</v>
      </c>
      <c r="J10" s="31" t="s">
        <v>92</v>
      </c>
      <c r="K10" s="22"/>
      <c r="L10" s="22"/>
      <c r="R10" s="22">
        <v>70</v>
      </c>
      <c r="S10" s="24">
        <v>2.0020000000000001E-5</v>
      </c>
      <c r="T10" s="25">
        <v>2.9600000000000001E-2</v>
      </c>
      <c r="U10" s="22">
        <v>0.69399999999999995</v>
      </c>
    </row>
    <row r="11" spans="1:21" x14ac:dyDescent="0.25">
      <c r="A11" t="s">
        <v>23</v>
      </c>
      <c r="B11">
        <v>125</v>
      </c>
      <c r="D11" s="33" t="s">
        <v>82</v>
      </c>
      <c r="E11" s="33">
        <f ca="1">E17+B3*E37/(E37+E31)*E8</f>
        <v>35.577459275536761</v>
      </c>
      <c r="H11" s="28" t="s">
        <v>79</v>
      </c>
      <c r="I11" s="28">
        <f ca="1">B3*E37/(E31+E37)</f>
        <v>3.6452409769398876E-2</v>
      </c>
      <c r="J11" s="22"/>
      <c r="K11" s="22"/>
      <c r="L11" s="22"/>
      <c r="R11" s="22">
        <v>80</v>
      </c>
      <c r="S11" s="24">
        <v>2.109E-5</v>
      </c>
      <c r="T11" s="25">
        <v>3.0499999999999999E-2</v>
      </c>
      <c r="U11" s="22">
        <v>0.69199999999999995</v>
      </c>
    </row>
    <row r="12" spans="1:21" x14ac:dyDescent="0.25">
      <c r="A12" t="s">
        <v>4</v>
      </c>
      <c r="B12">
        <v>0.64</v>
      </c>
      <c r="H12" s="28" t="s">
        <v>176</v>
      </c>
      <c r="I12" s="29">
        <f>B15*B5*0.000001</f>
        <v>4.1652892561983477E-5</v>
      </c>
      <c r="J12" s="22"/>
      <c r="K12" s="22"/>
      <c r="L12" s="22"/>
    </row>
    <row r="13" spans="1:21" x14ac:dyDescent="0.25">
      <c r="A13" t="s">
        <v>5</v>
      </c>
      <c r="B13">
        <v>0.64</v>
      </c>
    </row>
    <row r="14" spans="1:21" x14ac:dyDescent="0.25">
      <c r="A14" t="s">
        <v>6</v>
      </c>
      <c r="B14">
        <v>0.33</v>
      </c>
    </row>
    <row r="15" spans="1:21" ht="45" customHeight="1" x14ac:dyDescent="0.25">
      <c r="A15" t="s">
        <v>78</v>
      </c>
      <c r="B15">
        <v>324</v>
      </c>
      <c r="H15" s="10" t="s">
        <v>64</v>
      </c>
      <c r="I15" s="10" t="s">
        <v>65</v>
      </c>
      <c r="J15" s="10" t="s">
        <v>68</v>
      </c>
      <c r="K15" s="10" t="s">
        <v>66</v>
      </c>
      <c r="L15" s="10" t="s">
        <v>67</v>
      </c>
      <c r="M15" s="14" t="s">
        <v>69</v>
      </c>
      <c r="N15" s="10" t="s">
        <v>66</v>
      </c>
      <c r="O15" s="10" t="s">
        <v>67</v>
      </c>
    </row>
    <row r="16" spans="1:21" x14ac:dyDescent="0.25">
      <c r="A16" s="41" t="s">
        <v>10</v>
      </c>
      <c r="B16" s="41"/>
      <c r="H16" t="s">
        <v>87</v>
      </c>
      <c r="I16">
        <v>35.6</v>
      </c>
      <c r="J16">
        <v>40.5</v>
      </c>
      <c r="K16" s="13">
        <f>(I16-J16)/J16</f>
        <v>-0.12098765432098763</v>
      </c>
      <c r="M16" s="15">
        <v>38.6</v>
      </c>
      <c r="N16" s="13">
        <f>(I16-M16)/M16</f>
        <v>-7.7720207253886009E-2</v>
      </c>
    </row>
    <row r="17" spans="1:14" ht="16.2" x14ac:dyDescent="0.35">
      <c r="A17" t="s">
        <v>94</v>
      </c>
      <c r="B17">
        <v>2.5999999999999999E-2</v>
      </c>
      <c r="D17" s="34" t="s">
        <v>105</v>
      </c>
      <c r="E17" s="34">
        <f ca="1">E19+B3*E37/(E37+E31)*E18</f>
        <v>35.479564620394335</v>
      </c>
      <c r="H17" t="s">
        <v>70</v>
      </c>
      <c r="I17">
        <v>35.5</v>
      </c>
      <c r="J17">
        <v>40.6</v>
      </c>
      <c r="K17" s="13">
        <f>(I17-J17)/J17</f>
        <v>-0.12561576354679807</v>
      </c>
      <c r="M17" s="15">
        <v>38.4</v>
      </c>
      <c r="N17" s="13">
        <f>(I17-M17)/M17</f>
        <v>-7.5520833333333301E-2</v>
      </c>
    </row>
    <row r="18" spans="1:14" ht="28.8" x14ac:dyDescent="0.35">
      <c r="A18" t="s">
        <v>95</v>
      </c>
      <c r="B18">
        <v>0</v>
      </c>
      <c r="C18" s="10" t="s">
        <v>39</v>
      </c>
      <c r="D18" s="18" t="s">
        <v>104</v>
      </c>
      <c r="E18" s="18">
        <f>B18/B17/B19*1000</f>
        <v>0</v>
      </c>
      <c r="H18" t="s">
        <v>71</v>
      </c>
      <c r="I18">
        <v>33</v>
      </c>
      <c r="J18">
        <v>35.799999999999997</v>
      </c>
      <c r="K18" s="13">
        <f>(I18-J18)/J18</f>
        <v>-7.8212290502793227E-2</v>
      </c>
      <c r="M18" s="15">
        <v>35.200000000000003</v>
      </c>
      <c r="N18" s="13">
        <f>(I18-M18)/M18</f>
        <v>-6.2500000000000069E-2</v>
      </c>
    </row>
    <row r="19" spans="1:14" ht="16.2" x14ac:dyDescent="0.35">
      <c r="A19" s="36" t="s">
        <v>96</v>
      </c>
      <c r="B19" s="36">
        <f>B12*B13</f>
        <v>0.40960000000000002</v>
      </c>
      <c r="D19" s="33" t="s">
        <v>103</v>
      </c>
      <c r="E19" s="33">
        <f ca="1">E23+B3*E37/(E37+E31)*E22</f>
        <v>35.479564620394335</v>
      </c>
      <c r="H19" t="s">
        <v>72</v>
      </c>
      <c r="I19">
        <v>35.5</v>
      </c>
      <c r="J19">
        <v>40.4</v>
      </c>
      <c r="K19" s="13">
        <f>(I19-J19)/J19</f>
        <v>-0.12128712871287126</v>
      </c>
      <c r="M19" s="15">
        <v>38.4</v>
      </c>
      <c r="N19" s="13">
        <f>(I19-M19)/M19</f>
        <v>-7.5520833333333301E-2</v>
      </c>
    </row>
    <row r="20" spans="1:14" ht="16.2" x14ac:dyDescent="0.35">
      <c r="H20" t="s">
        <v>74</v>
      </c>
      <c r="I20">
        <v>35.4</v>
      </c>
      <c r="J20">
        <v>34.5</v>
      </c>
      <c r="K20" s="13">
        <f>(I20-J20)/J20</f>
        <v>2.6086956521739091E-2</v>
      </c>
      <c r="M20" s="15">
        <v>38.1</v>
      </c>
      <c r="N20" s="13">
        <f>(I20-M20)/M20</f>
        <v>-7.0866141732283533E-2</v>
      </c>
    </row>
    <row r="21" spans="1:14" x14ac:dyDescent="0.25">
      <c r="A21" s="41" t="s">
        <v>3</v>
      </c>
      <c r="B21" s="41"/>
    </row>
    <row r="22" spans="1:14" ht="16.2" x14ac:dyDescent="0.35">
      <c r="A22" t="s">
        <v>7</v>
      </c>
      <c r="B22">
        <v>0.2</v>
      </c>
      <c r="D22" s="18" t="s">
        <v>84</v>
      </c>
      <c r="E22" s="18">
        <f>(B23-B14)/B22/B25*1000</f>
        <v>68.422619047619037</v>
      </c>
    </row>
    <row r="23" spans="1:14" ht="16.2" x14ac:dyDescent="0.35">
      <c r="A23" t="s">
        <v>8</v>
      </c>
      <c r="B23">
        <v>0.9</v>
      </c>
      <c r="D23" s="33" t="s">
        <v>102</v>
      </c>
      <c r="E23" s="33">
        <f ca="1">L6</f>
        <v>32.985395273375048</v>
      </c>
    </row>
    <row r="24" spans="1:14" x14ac:dyDescent="0.25">
      <c r="A24" t="s">
        <v>27</v>
      </c>
      <c r="B24">
        <v>324</v>
      </c>
    </row>
    <row r="25" spans="1:14" x14ac:dyDescent="0.25">
      <c r="A25" s="20" t="s">
        <v>28</v>
      </c>
      <c r="B25">
        <f>B24*B5</f>
        <v>41.652892561983478</v>
      </c>
    </row>
    <row r="27" spans="1:14" x14ac:dyDescent="0.25">
      <c r="A27" s="41" t="s">
        <v>12</v>
      </c>
      <c r="B27" s="41"/>
    </row>
    <row r="28" spans="1:14" ht="28.8" x14ac:dyDescent="0.35">
      <c r="A28" s="21" t="s">
        <v>15</v>
      </c>
      <c r="B28" s="21">
        <f ca="1">L4</f>
        <v>109.59346523808698</v>
      </c>
      <c r="C28" s="27" t="s">
        <v>97</v>
      </c>
      <c r="D28" s="18" t="s">
        <v>86</v>
      </c>
      <c r="E28" s="18">
        <f ca="1">1/B28/B30*1000000</f>
        <v>219.06357697313723</v>
      </c>
    </row>
    <row r="29" spans="1:14" ht="16.2" x14ac:dyDescent="0.35">
      <c r="A29" t="s">
        <v>29</v>
      </c>
      <c r="B29">
        <v>324</v>
      </c>
      <c r="D29" t="s">
        <v>19</v>
      </c>
      <c r="E29">
        <f>B6</f>
        <v>25</v>
      </c>
    </row>
    <row r="30" spans="1:14" x14ac:dyDescent="0.25">
      <c r="A30" s="20" t="s">
        <v>14</v>
      </c>
      <c r="B30">
        <f>B29*B5</f>
        <v>41.652892561983478</v>
      </c>
    </row>
    <row r="31" spans="1:14" x14ac:dyDescent="0.25">
      <c r="D31" t="s">
        <v>106</v>
      </c>
      <c r="E31">
        <f ca="1">E8+E18+E22+E28</f>
        <v>290.17174289575627</v>
      </c>
    </row>
    <row r="33" spans="1:5" ht="16.2" x14ac:dyDescent="0.35">
      <c r="A33" s="41" t="s">
        <v>25</v>
      </c>
      <c r="B33" s="41"/>
    </row>
    <row r="34" spans="1:5" ht="16.2" x14ac:dyDescent="0.35">
      <c r="A34" t="s">
        <v>7</v>
      </c>
      <c r="B34">
        <v>13.5</v>
      </c>
      <c r="D34" s="18" t="s">
        <v>99</v>
      </c>
      <c r="E34" s="19">
        <f>B35/B37/B34*1000</f>
        <v>0.71134626690182234</v>
      </c>
    </row>
    <row r="35" spans="1:5" ht="28.8" x14ac:dyDescent="0.35">
      <c r="A35" t="s">
        <v>8</v>
      </c>
      <c r="B35">
        <v>0.4</v>
      </c>
      <c r="C35" s="10" t="s">
        <v>80</v>
      </c>
      <c r="D35" s="33" t="s">
        <v>100</v>
      </c>
      <c r="E35" s="33">
        <f ca="1">E36-B3*E31/(E31+E37)*E34</f>
        <v>35.415945192368468</v>
      </c>
    </row>
    <row r="36" spans="1:5" ht="16.2" x14ac:dyDescent="0.35">
      <c r="A36" t="s">
        <v>27</v>
      </c>
      <c r="B36">
        <v>324</v>
      </c>
      <c r="D36" s="33" t="s">
        <v>101</v>
      </c>
      <c r="E36" s="33">
        <f ca="1">E11-B3*E31/(E31+E37)*E9</f>
        <v>35.449767993179186</v>
      </c>
    </row>
    <row r="37" spans="1:5" x14ac:dyDescent="0.25">
      <c r="A37" s="20" t="s">
        <v>9</v>
      </c>
      <c r="B37">
        <f>B36*B5</f>
        <v>41.652892561983478</v>
      </c>
      <c r="D37" t="s">
        <v>107</v>
      </c>
      <c r="E37">
        <f ca="1">E9+E34+E28</f>
        <v>222.46047011503904</v>
      </c>
    </row>
    <row r="40" spans="1:5" ht="189.75" customHeight="1" x14ac:dyDescent="0.25">
      <c r="A40" s="35" t="s">
        <v>110</v>
      </c>
    </row>
  </sheetData>
  <mergeCells count="11">
    <mergeCell ref="R1:U1"/>
    <mergeCell ref="A16:B16"/>
    <mergeCell ref="A21:B21"/>
    <mergeCell ref="A27:B27"/>
    <mergeCell ref="A33:B33"/>
    <mergeCell ref="A1:E1"/>
    <mergeCell ref="H1:L1"/>
    <mergeCell ref="A2:B2"/>
    <mergeCell ref="D2:E2"/>
    <mergeCell ref="H2:I2"/>
    <mergeCell ref="K2:L2"/>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2FE30-570D-4A28-9CDC-F633BC0D3F20}">
  <dimension ref="A1:U40"/>
  <sheetViews>
    <sheetView zoomScale="115" zoomScaleNormal="115" workbookViewId="0">
      <selection activeCell="C12" sqref="C12"/>
    </sheetView>
  </sheetViews>
  <sheetFormatPr defaultRowHeight="13.8" x14ac:dyDescent="0.25"/>
  <cols>
    <col min="1" max="1" width="49.77734375" customWidth="1"/>
    <col min="3" max="3" width="31.44140625" customWidth="1"/>
    <col min="4" max="4" width="26.33203125" customWidth="1"/>
    <col min="5" max="5" width="10.77734375" customWidth="1"/>
    <col min="8" max="8" width="49" customWidth="1"/>
    <col min="9" max="9" width="16.44140625" customWidth="1"/>
    <col min="10" max="10" width="25.88671875" customWidth="1"/>
    <col min="11" max="11" width="16.6640625" customWidth="1"/>
    <col min="12" max="12" width="14.44140625" customWidth="1"/>
    <col min="13" max="13" width="14.21875" customWidth="1"/>
    <col min="14" max="14" width="14.88671875" customWidth="1"/>
    <col min="15" max="15" width="16.33203125" customWidth="1"/>
    <col min="18" max="18" width="9.44140625" customWidth="1"/>
    <col min="19" max="19" width="15" customWidth="1"/>
    <col min="20" max="20" width="18.88671875" customWidth="1"/>
    <col min="21" max="21" width="6.44140625" customWidth="1"/>
  </cols>
  <sheetData>
    <row r="1" spans="1:21" x14ac:dyDescent="0.25">
      <c r="A1" s="42" t="s">
        <v>93</v>
      </c>
      <c r="B1" s="42"/>
      <c r="C1" s="42"/>
      <c r="D1" s="42"/>
      <c r="E1" s="42"/>
      <c r="H1" s="43" t="s">
        <v>41</v>
      </c>
      <c r="I1" s="43"/>
      <c r="J1" s="43"/>
      <c r="K1" s="43"/>
      <c r="L1" s="43"/>
      <c r="R1" s="40" t="s">
        <v>88</v>
      </c>
      <c r="S1" s="40"/>
      <c r="T1" s="40"/>
      <c r="U1" s="40"/>
    </row>
    <row r="2" spans="1:21" x14ac:dyDescent="0.25">
      <c r="A2" s="41" t="s">
        <v>0</v>
      </c>
      <c r="B2" s="41"/>
      <c r="C2" s="1" t="s">
        <v>56</v>
      </c>
      <c r="D2" s="41" t="s">
        <v>2</v>
      </c>
      <c r="E2" s="41"/>
      <c r="H2" s="40" t="s">
        <v>0</v>
      </c>
      <c r="I2" s="40"/>
      <c r="J2" s="26" t="s">
        <v>56</v>
      </c>
      <c r="K2" s="40" t="s">
        <v>2</v>
      </c>
      <c r="L2" s="40"/>
      <c r="R2" s="22" t="s">
        <v>89</v>
      </c>
      <c r="S2" s="22" t="s">
        <v>51</v>
      </c>
      <c r="T2" s="22" t="s">
        <v>91</v>
      </c>
      <c r="U2" s="23" t="s">
        <v>54</v>
      </c>
    </row>
    <row r="3" spans="1:21" ht="16.2" x14ac:dyDescent="0.25">
      <c r="A3" s="16" t="s">
        <v>77</v>
      </c>
      <c r="B3" s="36">
        <v>8.4000000000000005E-2</v>
      </c>
      <c r="H3" s="28" t="s">
        <v>42</v>
      </c>
      <c r="I3" s="29">
        <f>I12^(0.5)</f>
        <v>6.4539052179268547E-3</v>
      </c>
      <c r="J3" s="22"/>
      <c r="K3" s="22" t="s">
        <v>43</v>
      </c>
      <c r="L3" s="22">
        <f ca="1">I4*I3/I8</f>
        <v>2028.2489217940663</v>
      </c>
      <c r="R3" s="22">
        <v>0</v>
      </c>
      <c r="S3" s="24">
        <v>1.328E-5</v>
      </c>
      <c r="T3" s="25">
        <v>2.4400000000000002E-2</v>
      </c>
      <c r="U3" s="22">
        <v>0.70699999999999996</v>
      </c>
    </row>
    <row r="4" spans="1:21" ht="16.2" x14ac:dyDescent="0.35">
      <c r="A4" s="16" t="s">
        <v>76</v>
      </c>
      <c r="B4">
        <v>0.65339999999999998</v>
      </c>
      <c r="H4" s="22" t="s">
        <v>44</v>
      </c>
      <c r="I4" s="22">
        <v>5</v>
      </c>
      <c r="J4" s="22"/>
      <c r="K4" s="22" t="s">
        <v>45</v>
      </c>
      <c r="L4" s="22">
        <f ca="1">IF(L3&gt;5*10^5,(0.037*L3^0.8-870)*I10^(1/3)*I9/I3,0.664*I9/I3*L3^0.5*I10^(1/3))</f>
        <v>109.59291792702325</v>
      </c>
      <c r="R4" s="22">
        <v>10</v>
      </c>
      <c r="S4" s="24">
        <v>1.416E-5</v>
      </c>
      <c r="T4" s="25">
        <v>2.5100000000000001E-2</v>
      </c>
      <c r="U4" s="22">
        <v>0.70499999999999996</v>
      </c>
    </row>
    <row r="5" spans="1:21" ht="14.4" x14ac:dyDescent="0.25">
      <c r="A5" s="17" t="s">
        <v>26</v>
      </c>
      <c r="B5">
        <f>B3/B4</f>
        <v>0.12855831037649221</v>
      </c>
      <c r="H5" s="22" t="s">
        <v>46</v>
      </c>
      <c r="I5" s="22">
        <v>25</v>
      </c>
      <c r="J5" s="22"/>
      <c r="K5" s="22"/>
      <c r="L5" s="22"/>
      <c r="R5" s="22">
        <v>20</v>
      </c>
      <c r="S5" s="24">
        <v>1.506E-5</v>
      </c>
      <c r="T5" s="25">
        <v>2.5899999999999999E-2</v>
      </c>
      <c r="U5" s="22">
        <v>0.70299999999999996</v>
      </c>
    </row>
    <row r="6" spans="1:21" ht="42.6" x14ac:dyDescent="0.35">
      <c r="A6" s="3" t="s">
        <v>18</v>
      </c>
      <c r="B6">
        <v>25</v>
      </c>
      <c r="H6" s="28" t="s">
        <v>81</v>
      </c>
      <c r="I6" s="28">
        <f ca="1">IF(ABS(L6-I6)&lt;0.2,I6,I6+(L6-I6)/2)</f>
        <v>33.086005847575962</v>
      </c>
      <c r="J6" s="30" t="s">
        <v>98</v>
      </c>
      <c r="K6" s="22" t="s">
        <v>49</v>
      </c>
      <c r="L6" s="22">
        <f ca="1">I11/I12/L4+I5</f>
        <v>32.985440339788113</v>
      </c>
      <c r="R6" s="22">
        <v>30</v>
      </c>
      <c r="S6" s="24">
        <v>1.5999999999999999E-5</v>
      </c>
      <c r="T6" s="25">
        <v>2.6700000000000002E-2</v>
      </c>
      <c r="U6" s="22">
        <v>0.70099999999999996</v>
      </c>
    </row>
    <row r="7" spans="1:21" x14ac:dyDescent="0.25">
      <c r="A7" s="3" t="s">
        <v>13</v>
      </c>
      <c r="B7">
        <v>5</v>
      </c>
      <c r="H7" s="28" t="s">
        <v>50</v>
      </c>
      <c r="I7" s="28">
        <f ca="1">(I5+I6)/2</f>
        <v>29.043002923787981</v>
      </c>
      <c r="J7" s="22"/>
      <c r="K7" s="22"/>
      <c r="L7" s="22"/>
      <c r="R7" s="22">
        <v>40</v>
      </c>
      <c r="S7" s="24">
        <v>1.696E-5</v>
      </c>
      <c r="T7" s="25">
        <v>2.76E-2</v>
      </c>
      <c r="U7" s="22">
        <v>0.69899999999999995</v>
      </c>
    </row>
    <row r="8" spans="1:21" x14ac:dyDescent="0.25">
      <c r="A8" t="s">
        <v>21</v>
      </c>
      <c r="D8" t="s">
        <v>30</v>
      </c>
      <c r="E8">
        <f>IF(B8=0,B14/2/B10/B12/B13*1000,B8)</f>
        <v>2.685546875</v>
      </c>
      <c r="H8" s="31" t="s">
        <v>51</v>
      </c>
      <c r="I8" s="32">
        <f ca="1">IF(AND(R3&lt;=I7,I7&lt;R4),S3+(S4-S3)*(I7-R3)/(R4-R3),IF(AND(R4&lt;=I7,I7&lt;R5),S4+(S5-S4)*(I7-R4)/(R5-R4),IF(AND(R5&lt;=I7,I7&lt;R6),S5+(S6-S5)*(I7-R5)/(R6-R5),IF(AND(R6&lt;=I7,I7&lt;R7),S6+(S7-S6)*(I7-R6)/(R7-R6),IF(AND(R7&lt;=I7,I7&lt;R8),S7+(S8-S7)*(I7-R7)/(R8-R7),IF(AND(R8&lt;=I7,I7&lt;R9),S8+(S9-S8)*(I7-R8)/(R9-R8),IF(AND(R9&lt;=I7,I7&lt;R10),S9+(S10-S9)*(I7-R9)/(R10-R9),IF(AND(R10&lt;=I7,I7&lt;=R11),S10+(S11-S10)*(I7-R10)/(R11-R10),"超出范围"))))))))</f>
        <v>1.5910042274836069E-5</v>
      </c>
      <c r="J8" s="31" t="s">
        <v>92</v>
      </c>
      <c r="K8" s="22"/>
      <c r="L8" s="22"/>
      <c r="R8" s="22">
        <v>50</v>
      </c>
      <c r="S8" s="24">
        <v>1.7949999999999999E-5</v>
      </c>
      <c r="T8" s="25">
        <v>2.8299999999999999E-2</v>
      </c>
      <c r="U8" s="22">
        <v>0.69799999999999995</v>
      </c>
    </row>
    <row r="9" spans="1:21" x14ac:dyDescent="0.25">
      <c r="A9" t="s">
        <v>22</v>
      </c>
      <c r="D9" t="s">
        <v>31</v>
      </c>
      <c r="E9">
        <f>IF(B9=0,B14/2/B10/B12/B13*1000,B9)</f>
        <v>2.685546875</v>
      </c>
      <c r="H9" s="31" t="s">
        <v>53</v>
      </c>
      <c r="I9" s="32">
        <f ca="1">IF(AND(R3&lt;=I7,I7&lt;R4),T3+(T4-T3)*(I7-R3)/(R4-R3),IF(AND(R4&lt;=I7,I7&lt;R5),T4+(T5-T4)*(I7-R4)/(R5-R4),IF(AND(R5&lt;=I7,I7&lt;R6),T5+(T6-T5)*(I7-R5)/(R6-R5),IF(AND(R6&lt;=I7,I7&lt;R7),T6+(T7-T6)*(I7-R6)/(R7-R6),IF(AND(R7&lt;=I7,I7&lt;R8),T7+(T8-T7)*(I7-R7)/(R8-R7),IF(AND(R8&lt;=I7,I7&lt;R9),T8+(T9-T8)*(I7-R8)/(R9-R8),IF(AND(R9&lt;=I7,I7&lt;R10),T9+(T10-T9)*(I7-R9)/(R10-R9),IF(AND(R10&lt;=I7,I7&lt;=R11),T10+(T11-T10)*(I7-R10)/(R11-R10),"超出范围"))))))))</f>
        <v>2.6623440233903041E-2</v>
      </c>
      <c r="J9" s="31" t="s">
        <v>92</v>
      </c>
      <c r="K9" s="22"/>
      <c r="L9" s="22"/>
      <c r="R9" s="22">
        <v>60</v>
      </c>
      <c r="S9" s="24">
        <v>1.897E-5</v>
      </c>
      <c r="T9" s="25">
        <v>2.9000000000000001E-2</v>
      </c>
      <c r="U9" s="22">
        <v>0.69599999999999995</v>
      </c>
    </row>
    <row r="10" spans="1:21" x14ac:dyDescent="0.25">
      <c r="A10" t="s">
        <v>36</v>
      </c>
      <c r="B10">
        <v>150</v>
      </c>
      <c r="D10" s="18" t="s">
        <v>40</v>
      </c>
      <c r="E10" s="18">
        <f ca="1">E31*E37/(E31+E37)</f>
        <v>125.92269078169792</v>
      </c>
      <c r="H10" s="31" t="s">
        <v>54</v>
      </c>
      <c r="I10" s="32">
        <f ca="1">IF(AND(R3&lt;=I7,I7&lt;R4),U3+(U4-U3)*(I7-R3)/(R4-R3),IF(AND(R4&lt;=I7,I7&lt;R5),U4+(U5-U4)*(I7-R4)/(R5-R4),IF(AND(R5&lt;=I7,I7&lt;R6),U5+(U6-U5)*(I7-R5)/(R6-R5),IF(AND(R6&lt;=I7,I7&lt;R7),U6+(U7-U6)*(I7-R6)/(R7-R6),IF(AND(R7&lt;=I7,I7&lt;R8),U7+(U8-U7)*(I7-R7)/(R8-R7),IF(AND(R8&lt;=I7,I7&lt;R9),U8+(U9-U8)*(I7-R8)/(R9-R8),IF(AND(R9&lt;=I7,I7&lt;R10),U9+(U10-U9)*(I7-R9)/(R10-R9),IF(AND(R10&lt;=I7,I7&lt;=R11),U10+(U11-U10)*(I7-R10)/(R11-R10),"超出范围"))))))))</f>
        <v>0.70119139941524233</v>
      </c>
      <c r="J10" s="31" t="s">
        <v>92</v>
      </c>
      <c r="K10" s="22"/>
      <c r="L10" s="22"/>
      <c r="R10" s="22">
        <v>70</v>
      </c>
      <c r="S10" s="24">
        <v>2.0020000000000001E-5</v>
      </c>
      <c r="T10" s="25">
        <v>2.9600000000000001E-2</v>
      </c>
      <c r="U10" s="22">
        <v>0.69399999999999995</v>
      </c>
    </row>
    <row r="11" spans="1:21" x14ac:dyDescent="0.25">
      <c r="A11" t="s">
        <v>23</v>
      </c>
      <c r="B11">
        <v>125</v>
      </c>
      <c r="D11" s="33" t="s">
        <v>82</v>
      </c>
      <c r="E11" s="33">
        <f ca="1">E17+B3*E37/(E37+E31)*E8</f>
        <v>35.577506025662629</v>
      </c>
      <c r="H11" s="28" t="s">
        <v>79</v>
      </c>
      <c r="I11" s="28">
        <f ca="1">B3*E37/(E31+E37)</f>
        <v>3.6452433447590749E-2</v>
      </c>
      <c r="J11" s="22"/>
      <c r="K11" s="22"/>
      <c r="L11" s="22"/>
      <c r="R11" s="22">
        <v>80</v>
      </c>
      <c r="S11" s="24">
        <v>2.109E-5</v>
      </c>
      <c r="T11" s="25">
        <v>3.0499999999999999E-2</v>
      </c>
      <c r="U11" s="22">
        <v>0.69199999999999995</v>
      </c>
    </row>
    <row r="12" spans="1:21" x14ac:dyDescent="0.25">
      <c r="A12" t="s">
        <v>4</v>
      </c>
      <c r="B12">
        <v>0.64</v>
      </c>
      <c r="H12" s="28" t="s">
        <v>55</v>
      </c>
      <c r="I12" s="29">
        <f>B15*B5*0.000001</f>
        <v>4.1652892561983477E-5</v>
      </c>
      <c r="J12" s="22"/>
      <c r="K12" s="22"/>
      <c r="L12" s="22"/>
    </row>
    <row r="13" spans="1:21" x14ac:dyDescent="0.25">
      <c r="A13" t="s">
        <v>5</v>
      </c>
      <c r="B13">
        <v>0.64</v>
      </c>
    </row>
    <row r="14" spans="1:21" x14ac:dyDescent="0.25">
      <c r="A14" t="s">
        <v>6</v>
      </c>
      <c r="B14">
        <v>0.33</v>
      </c>
    </row>
    <row r="15" spans="1:21" ht="45" customHeight="1" x14ac:dyDescent="0.25">
      <c r="A15" t="s">
        <v>78</v>
      </c>
      <c r="B15">
        <v>324</v>
      </c>
      <c r="H15" s="10" t="s">
        <v>64</v>
      </c>
      <c r="I15" s="10" t="s">
        <v>65</v>
      </c>
      <c r="J15" s="10" t="s">
        <v>68</v>
      </c>
      <c r="K15" s="10" t="s">
        <v>66</v>
      </c>
      <c r="L15" s="10" t="s">
        <v>67</v>
      </c>
      <c r="M15" s="14" t="s">
        <v>69</v>
      </c>
      <c r="N15" s="10" t="s">
        <v>66</v>
      </c>
      <c r="O15" s="10" t="s">
        <v>67</v>
      </c>
    </row>
    <row r="16" spans="1:21" x14ac:dyDescent="0.25">
      <c r="A16" s="41" t="s">
        <v>10</v>
      </c>
      <c r="B16" s="41"/>
      <c r="H16" t="s">
        <v>87</v>
      </c>
      <c r="I16">
        <v>35.6</v>
      </c>
      <c r="J16">
        <v>40.5</v>
      </c>
      <c r="K16" s="13">
        <f>(I16-J16)/J16</f>
        <v>-0.12098765432098763</v>
      </c>
      <c r="M16" s="15">
        <v>38.6</v>
      </c>
      <c r="N16" s="13">
        <f>(I16-M16)/M16</f>
        <v>-7.7720207253886009E-2</v>
      </c>
    </row>
    <row r="17" spans="1:14" ht="16.2" x14ac:dyDescent="0.35">
      <c r="A17" t="s">
        <v>94</v>
      </c>
      <c r="B17">
        <v>2.5999999999999999E-2</v>
      </c>
      <c r="D17" s="34" t="s">
        <v>105</v>
      </c>
      <c r="E17" s="34">
        <f ca="1">E19+B3*E37/(E37+E31)*E18</f>
        <v>35.479611306931304</v>
      </c>
      <c r="H17" t="s">
        <v>70</v>
      </c>
      <c r="I17">
        <v>35.5</v>
      </c>
      <c r="J17">
        <v>40.6</v>
      </c>
      <c r="K17" s="13">
        <f>(I17-J17)/J17</f>
        <v>-0.12561576354679807</v>
      </c>
      <c r="M17" s="15">
        <v>38.4</v>
      </c>
      <c r="N17" s="13">
        <f>(I17-M17)/M17</f>
        <v>-7.5520833333333301E-2</v>
      </c>
    </row>
    <row r="18" spans="1:14" ht="28.8" x14ac:dyDescent="0.35">
      <c r="A18" t="s">
        <v>95</v>
      </c>
      <c r="B18">
        <v>0</v>
      </c>
      <c r="C18" s="10" t="s">
        <v>39</v>
      </c>
      <c r="D18" s="18" t="s">
        <v>104</v>
      </c>
      <c r="E18" s="18">
        <f>B18/B17/B19*1000</f>
        <v>0</v>
      </c>
      <c r="H18" t="s">
        <v>71</v>
      </c>
      <c r="I18">
        <v>33</v>
      </c>
      <c r="J18">
        <v>35.799999999999997</v>
      </c>
      <c r="K18" s="13">
        <f>(I18-J18)/J18</f>
        <v>-7.8212290502793227E-2</v>
      </c>
      <c r="M18" s="15">
        <v>35.200000000000003</v>
      </c>
      <c r="N18" s="13">
        <f>(I18-M18)/M18</f>
        <v>-6.2500000000000069E-2</v>
      </c>
    </row>
    <row r="19" spans="1:14" ht="16.2" x14ac:dyDescent="0.35">
      <c r="A19" t="s">
        <v>96</v>
      </c>
      <c r="B19">
        <f>B12*B13</f>
        <v>0.40960000000000002</v>
      </c>
      <c r="D19" s="33" t="s">
        <v>103</v>
      </c>
      <c r="E19" s="33">
        <f ca="1">E23+B3*E37/(E37+E31)*E22</f>
        <v>35.479611306931304</v>
      </c>
      <c r="H19" t="s">
        <v>72</v>
      </c>
      <c r="I19">
        <v>35.5</v>
      </c>
      <c r="J19">
        <v>40.4</v>
      </c>
      <c r="K19" s="13">
        <f>(I19-J19)/J19</f>
        <v>-0.12128712871287126</v>
      </c>
      <c r="M19" s="15">
        <v>38.4</v>
      </c>
      <c r="N19" s="13">
        <f>(I19-M19)/M19</f>
        <v>-7.5520833333333301E-2</v>
      </c>
    </row>
    <row r="20" spans="1:14" ht="16.2" x14ac:dyDescent="0.35">
      <c r="H20" t="s">
        <v>74</v>
      </c>
      <c r="I20">
        <v>35.4</v>
      </c>
      <c r="J20">
        <v>34.5</v>
      </c>
      <c r="K20" s="13">
        <f>(I20-J20)/J20</f>
        <v>2.6086956521739091E-2</v>
      </c>
      <c r="M20" s="15">
        <v>38.1</v>
      </c>
      <c r="N20" s="13">
        <f>(I20-M20)/M20</f>
        <v>-7.0866141732283533E-2</v>
      </c>
    </row>
    <row r="21" spans="1:14" x14ac:dyDescent="0.25">
      <c r="A21" s="41" t="s">
        <v>3</v>
      </c>
      <c r="B21" s="41"/>
    </row>
    <row r="22" spans="1:14" ht="16.2" x14ac:dyDescent="0.35">
      <c r="A22" t="s">
        <v>7</v>
      </c>
      <c r="B22">
        <v>0.2</v>
      </c>
      <c r="D22" s="18" t="s">
        <v>84</v>
      </c>
      <c r="E22" s="18">
        <f>(B23-B14)/B22/B25*1000</f>
        <v>68.422619047619037</v>
      </c>
    </row>
    <row r="23" spans="1:14" ht="16.2" x14ac:dyDescent="0.35">
      <c r="A23" t="s">
        <v>8</v>
      </c>
      <c r="B23">
        <v>0.9</v>
      </c>
      <c r="D23" s="33" t="s">
        <v>102</v>
      </c>
      <c r="E23" s="33">
        <f ca="1">L6</f>
        <v>32.985440339788113</v>
      </c>
    </row>
    <row r="24" spans="1:14" x14ac:dyDescent="0.25">
      <c r="A24" t="s">
        <v>27</v>
      </c>
      <c r="B24">
        <v>324</v>
      </c>
      <c r="I24" t="str">
        <f ca="1">IF(AND(R5&lt;=I7,I7&lt;R5+1),"是","否")</f>
        <v>否</v>
      </c>
    </row>
    <row r="25" spans="1:14" x14ac:dyDescent="0.25">
      <c r="A25" s="20" t="s">
        <v>28</v>
      </c>
      <c r="B25">
        <f>B24*B5</f>
        <v>41.652892561983478</v>
      </c>
    </row>
    <row r="27" spans="1:14" x14ac:dyDescent="0.25">
      <c r="A27" s="41" t="s">
        <v>12</v>
      </c>
      <c r="B27" s="41"/>
    </row>
    <row r="28" spans="1:14" ht="28.8" x14ac:dyDescent="0.35">
      <c r="A28" s="21" t="s">
        <v>15</v>
      </c>
      <c r="B28" s="21">
        <f ca="1">L4</f>
        <v>109.59291792702325</v>
      </c>
      <c r="C28" s="27" t="s">
        <v>97</v>
      </c>
      <c r="D28" s="18" t="s">
        <v>86</v>
      </c>
      <c r="E28" s="18">
        <f ca="1">1/B28/B30*1000000</f>
        <v>219.06467098469932</v>
      </c>
    </row>
    <row r="29" spans="1:14" ht="16.2" x14ac:dyDescent="0.35">
      <c r="A29" t="s">
        <v>29</v>
      </c>
      <c r="B29">
        <v>324</v>
      </c>
      <c r="D29" t="s">
        <v>19</v>
      </c>
      <c r="E29">
        <f>B6</f>
        <v>25</v>
      </c>
    </row>
    <row r="30" spans="1:14" x14ac:dyDescent="0.25">
      <c r="A30" s="20" t="s">
        <v>14</v>
      </c>
      <c r="B30">
        <f>B29*B5</f>
        <v>41.652892561983478</v>
      </c>
    </row>
    <row r="31" spans="1:14" x14ac:dyDescent="0.25">
      <c r="D31" t="s">
        <v>106</v>
      </c>
      <c r="E31">
        <f ca="1">E8+E18+E22+E28</f>
        <v>290.17283690731836</v>
      </c>
    </row>
    <row r="33" spans="1:5" ht="16.2" x14ac:dyDescent="0.35">
      <c r="A33" s="41" t="s">
        <v>25</v>
      </c>
      <c r="B33" s="41"/>
    </row>
    <row r="34" spans="1:5" ht="16.2" x14ac:dyDescent="0.35">
      <c r="A34" t="s">
        <v>7</v>
      </c>
      <c r="B34">
        <v>13.5</v>
      </c>
      <c r="D34" s="18" t="s">
        <v>99</v>
      </c>
      <c r="E34" s="19">
        <f>B35/B37/B34*1000</f>
        <v>0.71134626690182234</v>
      </c>
    </row>
    <row r="35" spans="1:5" ht="28.8" x14ac:dyDescent="0.35">
      <c r="A35" t="s">
        <v>8</v>
      </c>
      <c r="B35">
        <v>0.4</v>
      </c>
      <c r="C35" s="10" t="s">
        <v>80</v>
      </c>
      <c r="D35" s="33" t="s">
        <v>100</v>
      </c>
      <c r="E35" s="33">
        <f ca="1">E36-B3*E31/(E31+E37)*E34</f>
        <v>35.415992022926631</v>
      </c>
    </row>
    <row r="36" spans="1:5" ht="16.2" x14ac:dyDescent="0.35">
      <c r="A36" t="s">
        <v>27</v>
      </c>
      <c r="B36">
        <f>324</f>
        <v>324</v>
      </c>
      <c r="D36" s="33" t="s">
        <v>101</v>
      </c>
      <c r="E36" s="33">
        <f ca="1">E11-B3*E31/(E31+E37)*E9</f>
        <v>35.449814806893954</v>
      </c>
    </row>
    <row r="37" spans="1:5" x14ac:dyDescent="0.25">
      <c r="A37" s="20" t="s">
        <v>9</v>
      </c>
      <c r="B37">
        <f>B36*B5</f>
        <v>41.652892561983478</v>
      </c>
      <c r="D37" t="s">
        <v>107</v>
      </c>
      <c r="E37">
        <f ca="1">E9+E34+E28</f>
        <v>222.46156412660113</v>
      </c>
    </row>
    <row r="40" spans="1:5" ht="95.25" customHeight="1" x14ac:dyDescent="0.25">
      <c r="A40" s="35" t="s">
        <v>108</v>
      </c>
    </row>
  </sheetData>
  <mergeCells count="11">
    <mergeCell ref="A16:B16"/>
    <mergeCell ref="A21:B21"/>
    <mergeCell ref="A27:B27"/>
    <mergeCell ref="A33:B33"/>
    <mergeCell ref="A1:E1"/>
    <mergeCell ref="H1:L1"/>
    <mergeCell ref="R1:U1"/>
    <mergeCell ref="A2:B2"/>
    <mergeCell ref="D2:E2"/>
    <mergeCell ref="H2:I2"/>
    <mergeCell ref="K2:L2"/>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热阻分析法2023.7.27更新</vt:lpstr>
      <vt:lpstr>F1板U1300</vt:lpstr>
      <vt:lpstr>F1板Die1400</vt:lpstr>
      <vt:lpstr>热阻分析法2023.6.20更新</vt:lpstr>
      <vt:lpstr>F1板U1204计算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litie</dc:creator>
  <cp:lastModifiedBy>穆聪</cp:lastModifiedBy>
  <dcterms:created xsi:type="dcterms:W3CDTF">2015-06-05T18:19:34Z</dcterms:created>
  <dcterms:modified xsi:type="dcterms:W3CDTF">2023-08-29T02:35:59Z</dcterms:modified>
</cp:coreProperties>
</file>