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4355" windowHeight="4680" tabRatio="990" firstSheet="15" activeTab="15"/>
  </bookViews>
  <sheets>
    <sheet name="LeanGlossary" sheetId="1" r:id="rId1"/>
    <sheet name="5S Audit Sheet" sheetId="3" r:id="rId2"/>
    <sheet name="VSM Symbols" sheetId="4" r:id="rId3"/>
    <sheet name="VSM - Generic" sheetId="5" r:id="rId4"/>
    <sheet name="EPEI Calculation" sheetId="2" r:id="rId5"/>
    <sheet name="Six Sigma Tools" sheetId="23" r:id="rId6"/>
    <sheet name="Pugh Matrix" sheetId="6" r:id="rId7"/>
    <sheet name="Net Present Value" sheetId="7" r:id="rId8"/>
    <sheet name="VOC - Y Sheet" sheetId="8" r:id="rId9"/>
    <sheet name="Prioritizing Cust Req" sheetId="9" r:id="rId10"/>
    <sheet name="QFD" sheetId="10" r:id="rId11"/>
    <sheet name="RACI Matrix" sheetId="11" r:id="rId12"/>
    <sheet name="Gantt Chart" sheetId="12" r:id="rId13"/>
    <sheet name="CE Matrix" sheetId="13" r:id="rId14"/>
    <sheet name="GRR Done" sheetId="26" r:id="rId15"/>
    <sheet name="Variables GRR" sheetId="25" r:id="rId16"/>
    <sheet name="Attribute RR" sheetId="14" r:id="rId17"/>
    <sheet name="Sample Size Calculator" sheetId="24" r:id="rId18"/>
    <sheet name="DPMO-Sig Conversion" sheetId="15" r:id="rId19"/>
    <sheet name="Fishers Test" sheetId="16" r:id="rId20"/>
    <sheet name="Sum of Squares Analysis" sheetId="20" r:id="rId21"/>
    <sheet name="Sum of Squares Table" sheetId="21" r:id="rId22"/>
    <sheet name="Project Prioritization Matrix" sheetId="27" r:id="rId23"/>
    <sheet name="SIPOC" sheetId="28" r:id="rId24"/>
  </sheets>
  <externalReferences>
    <externalReference r:id="rId25"/>
    <externalReference r:id="rId26"/>
  </externalReferences>
  <definedNames>
    <definedName name="DPMO">'DPMO-Sig Conversion'!$B$14</definedName>
    <definedName name="ganttSymbols">[1]Legend!$D$3:$D$6</definedName>
    <definedName name="ganttTypes">[1]Legend!$B$3:$B$4</definedName>
  </definedNames>
  <calcPr calcId="145621"/>
</workbook>
</file>

<file path=xl/calcChain.xml><?xml version="1.0" encoding="utf-8"?>
<calcChain xmlns="http://schemas.openxmlformats.org/spreadsheetml/2006/main">
  <c r="V36" i="26" l="1"/>
  <c r="Q34" i="26"/>
  <c r="Q35" i="26" s="1"/>
  <c r="L29" i="26"/>
  <c r="K29" i="26"/>
  <c r="J29" i="26"/>
  <c r="I29" i="26"/>
  <c r="H29" i="26"/>
  <c r="G29" i="26"/>
  <c r="F29" i="26"/>
  <c r="E29" i="26"/>
  <c r="D29" i="26"/>
  <c r="C29" i="26"/>
  <c r="L28" i="26"/>
  <c r="K28" i="26"/>
  <c r="J28" i="26"/>
  <c r="I28" i="26"/>
  <c r="H28" i="26"/>
  <c r="G28" i="26"/>
  <c r="F28" i="26"/>
  <c r="E28" i="26"/>
  <c r="D28" i="26"/>
  <c r="C28" i="26"/>
  <c r="N27" i="26"/>
  <c r="A27" i="26"/>
  <c r="A28" i="26" s="1"/>
  <c r="A29" i="26" s="1"/>
  <c r="A32" i="26" s="1"/>
  <c r="A33" i="26" s="1"/>
  <c r="A34" i="26" s="1"/>
  <c r="N26" i="26"/>
  <c r="N25" i="26"/>
  <c r="L24" i="26"/>
  <c r="K24" i="26"/>
  <c r="J24" i="26"/>
  <c r="I24" i="26"/>
  <c r="H24" i="26"/>
  <c r="G24" i="26"/>
  <c r="F24" i="26"/>
  <c r="E24" i="26"/>
  <c r="D24" i="26"/>
  <c r="C24" i="26"/>
  <c r="L23" i="26"/>
  <c r="K23" i="26"/>
  <c r="J23" i="26"/>
  <c r="I23" i="26"/>
  <c r="H23" i="26"/>
  <c r="G23" i="26"/>
  <c r="F23" i="26"/>
  <c r="E23" i="26"/>
  <c r="D23" i="26"/>
  <c r="C23" i="26"/>
  <c r="N22" i="26"/>
  <c r="A22" i="26"/>
  <c r="A23" i="26" s="1"/>
  <c r="A24" i="26" s="1"/>
  <c r="N21" i="26"/>
  <c r="N20" i="26"/>
  <c r="L19" i="26"/>
  <c r="K19" i="26"/>
  <c r="J19" i="26"/>
  <c r="I19" i="26"/>
  <c r="H19" i="26"/>
  <c r="G19" i="26"/>
  <c r="F19" i="26"/>
  <c r="E19" i="26"/>
  <c r="D19" i="26"/>
  <c r="C19" i="26"/>
  <c r="L18" i="26"/>
  <c r="L31" i="26" s="1"/>
  <c r="K18" i="26"/>
  <c r="K31" i="26" s="1"/>
  <c r="J18" i="26"/>
  <c r="J31" i="26" s="1"/>
  <c r="I18" i="26"/>
  <c r="I31" i="26" s="1"/>
  <c r="H18" i="26"/>
  <c r="H31" i="26" s="1"/>
  <c r="G18" i="26"/>
  <c r="G31" i="26" s="1"/>
  <c r="F18" i="26"/>
  <c r="F31" i="26" s="1"/>
  <c r="E18" i="26"/>
  <c r="E31" i="26" s="1"/>
  <c r="D18" i="26"/>
  <c r="D31" i="26" s="1"/>
  <c r="C18" i="26"/>
  <c r="N17" i="26"/>
  <c r="A17" i="26"/>
  <c r="A18" i="26" s="1"/>
  <c r="A19" i="26" s="1"/>
  <c r="N16" i="26"/>
  <c r="N15" i="26"/>
  <c r="E12" i="26"/>
  <c r="X11" i="26"/>
  <c r="O11" i="26"/>
  <c r="J11" i="26"/>
  <c r="V11" i="26" s="1"/>
  <c r="H11" i="26"/>
  <c r="T11" i="26" s="1"/>
  <c r="F11" i="26"/>
  <c r="V9" i="26"/>
  <c r="R9" i="26"/>
  <c r="O9" i="26"/>
  <c r="V7" i="26"/>
  <c r="R7" i="26"/>
  <c r="V5" i="26"/>
  <c r="R5" i="26"/>
  <c r="V36" i="25"/>
  <c r="X34" i="25"/>
  <c r="Q34" i="25"/>
  <c r="Q35" i="25" s="1"/>
  <c r="N34" i="25"/>
  <c r="J34" i="25"/>
  <c r="I34" i="25"/>
  <c r="H34" i="25"/>
  <c r="G34" i="25"/>
  <c r="E34" i="25"/>
  <c r="N33" i="25"/>
  <c r="N32" i="25"/>
  <c r="X31" i="25"/>
  <c r="Q31" i="25"/>
  <c r="N31" i="25"/>
  <c r="X30" i="25"/>
  <c r="Q30" i="25"/>
  <c r="N30" i="25"/>
  <c r="L29" i="25"/>
  <c r="K29" i="25"/>
  <c r="J29" i="25"/>
  <c r="I29" i="25"/>
  <c r="H29" i="25"/>
  <c r="G29" i="25"/>
  <c r="F29" i="25"/>
  <c r="E29" i="25"/>
  <c r="D29" i="25"/>
  <c r="C29" i="25"/>
  <c r="N29" i="25" s="1"/>
  <c r="L28" i="25"/>
  <c r="K28" i="25"/>
  <c r="J28" i="25"/>
  <c r="I28" i="25"/>
  <c r="H28" i="25"/>
  <c r="G28" i="25"/>
  <c r="F28" i="25"/>
  <c r="E28" i="25"/>
  <c r="D28" i="25"/>
  <c r="C28" i="25"/>
  <c r="N28" i="25" s="1"/>
  <c r="V27" i="25"/>
  <c r="Q27" i="25"/>
  <c r="N27" i="25"/>
  <c r="A27" i="25"/>
  <c r="A28" i="25" s="1"/>
  <c r="A29" i="25" s="1"/>
  <c r="A32" i="25" s="1"/>
  <c r="A33" i="25" s="1"/>
  <c r="A34" i="25" s="1"/>
  <c r="X26" i="25"/>
  <c r="Q26" i="25"/>
  <c r="N26" i="25"/>
  <c r="X25" i="25"/>
  <c r="N25" i="25"/>
  <c r="L24" i="25"/>
  <c r="K24" i="25"/>
  <c r="J24" i="25"/>
  <c r="I24" i="25"/>
  <c r="H24" i="25"/>
  <c r="G24" i="25"/>
  <c r="F24" i="25"/>
  <c r="E24" i="25"/>
  <c r="D24" i="25"/>
  <c r="C24" i="25"/>
  <c r="N24" i="25" s="1"/>
  <c r="L23" i="25"/>
  <c r="K23" i="25"/>
  <c r="J23" i="25"/>
  <c r="I23" i="25"/>
  <c r="H23" i="25"/>
  <c r="G23" i="25"/>
  <c r="F23" i="25"/>
  <c r="E23" i="25"/>
  <c r="D23" i="25"/>
  <c r="C23" i="25"/>
  <c r="N23" i="25" s="1"/>
  <c r="N22" i="25"/>
  <c r="A22" i="25"/>
  <c r="A23" i="25" s="1"/>
  <c r="A24" i="25" s="1"/>
  <c r="X21" i="25"/>
  <c r="Q21" i="25"/>
  <c r="N21" i="25"/>
  <c r="X20" i="25"/>
  <c r="Q20" i="25"/>
  <c r="N20" i="25"/>
  <c r="L19" i="25"/>
  <c r="K19" i="25"/>
  <c r="J19" i="25"/>
  <c r="I19" i="25"/>
  <c r="H19" i="25"/>
  <c r="G19" i="25"/>
  <c r="F19" i="25"/>
  <c r="E19" i="25"/>
  <c r="D19" i="25"/>
  <c r="C19" i="25"/>
  <c r="N19" i="25" s="1"/>
  <c r="L18" i="25"/>
  <c r="L31" i="25" s="1"/>
  <c r="K18" i="25"/>
  <c r="K31" i="25" s="1"/>
  <c r="J18" i="25"/>
  <c r="J31" i="25" s="1"/>
  <c r="I18" i="25"/>
  <c r="I31" i="25" s="1"/>
  <c r="H18" i="25"/>
  <c r="H31" i="25" s="1"/>
  <c r="G18" i="25"/>
  <c r="G31" i="25" s="1"/>
  <c r="F18" i="25"/>
  <c r="F31" i="25" s="1"/>
  <c r="E18" i="25"/>
  <c r="E31" i="25" s="1"/>
  <c r="D18" i="25"/>
  <c r="D31" i="25" s="1"/>
  <c r="C18" i="25"/>
  <c r="N18" i="25" s="1"/>
  <c r="X17" i="25"/>
  <c r="Q17" i="25"/>
  <c r="N17" i="25"/>
  <c r="A17" i="25"/>
  <c r="A18" i="25" s="1"/>
  <c r="A19" i="25" s="1"/>
  <c r="X16" i="25"/>
  <c r="Q16" i="25"/>
  <c r="N16" i="25"/>
  <c r="N15" i="25"/>
  <c r="F12" i="25"/>
  <c r="E12" i="25"/>
  <c r="X11" i="25"/>
  <c r="O11" i="25"/>
  <c r="J11" i="25"/>
  <c r="V11" i="25" s="1"/>
  <c r="H11" i="25"/>
  <c r="T11" i="25" s="1"/>
  <c r="F11" i="25"/>
  <c r="R11" i="25" s="1"/>
  <c r="V9" i="25"/>
  <c r="R9" i="25"/>
  <c r="O9" i="25"/>
  <c r="V7" i="25"/>
  <c r="R7" i="25"/>
  <c r="V5" i="25"/>
  <c r="R5" i="25"/>
  <c r="B11" i="24"/>
  <c r="B12" i="24" s="1"/>
  <c r="B13" i="24" s="1"/>
  <c r="B7" i="24"/>
  <c r="B8" i="24" s="1"/>
  <c r="N18" i="26" l="1"/>
  <c r="N33" i="26" s="1"/>
  <c r="N23" i="26"/>
  <c r="N24" i="26"/>
  <c r="N28" i="26"/>
  <c r="R11" i="26"/>
  <c r="N29" i="26"/>
  <c r="C31" i="26"/>
  <c r="F12" i="26"/>
  <c r="N19" i="26"/>
  <c r="N32" i="26" s="1"/>
  <c r="C31" i="25"/>
  <c r="F2" i="21"/>
  <c r="D2" i="21"/>
  <c r="H24" i="20"/>
  <c r="B23" i="20"/>
  <c r="F16" i="20"/>
  <c r="E16" i="20"/>
  <c r="D16" i="20"/>
  <c r="C16" i="20"/>
  <c r="F15" i="20"/>
  <c r="E15" i="20"/>
  <c r="D15" i="20"/>
  <c r="C15" i="20"/>
  <c r="F14" i="20"/>
  <c r="E14" i="20"/>
  <c r="D14" i="20"/>
  <c r="C14" i="20"/>
  <c r="F13" i="20"/>
  <c r="E13" i="20"/>
  <c r="D13" i="20"/>
  <c r="C13" i="20"/>
  <c r="F12" i="20"/>
  <c r="E12" i="20"/>
  <c r="D12" i="20"/>
  <c r="C12" i="20"/>
  <c r="B16" i="20"/>
  <c r="B15" i="20"/>
  <c r="B14" i="20"/>
  <c r="B13" i="20"/>
  <c r="B12" i="20"/>
  <c r="B18" i="20" s="1"/>
  <c r="N30" i="26" l="1"/>
  <c r="N31" i="26"/>
  <c r="Q17" i="26"/>
  <c r="Q16" i="26"/>
  <c r="N34" i="26"/>
  <c r="H6" i="20"/>
  <c r="G6" i="20"/>
  <c r="H5" i="20"/>
  <c r="G5" i="20"/>
  <c r="H4" i="20"/>
  <c r="G4" i="20"/>
  <c r="H3" i="20"/>
  <c r="G3" i="20"/>
  <c r="H2" i="20"/>
  <c r="H8" i="20" s="1"/>
  <c r="G2" i="20"/>
  <c r="B22" i="20" s="1"/>
  <c r="G8" i="20" l="1"/>
  <c r="Q31" i="26"/>
  <c r="Q30" i="26"/>
  <c r="I34" i="26"/>
  <c r="H34" i="26"/>
  <c r="G34" i="26"/>
  <c r="Q26" i="26"/>
  <c r="X17" i="26"/>
  <c r="X16" i="26"/>
  <c r="Q21" i="26"/>
  <c r="Q20" i="26"/>
  <c r="B15" i="15"/>
  <c r="B10" i="15"/>
  <c r="B11" i="15" s="1"/>
  <c r="B4" i="15"/>
  <c r="B5" i="15" s="1"/>
  <c r="G9" i="20" l="1"/>
  <c r="H9" i="20" s="1"/>
  <c r="B24" i="20"/>
  <c r="B25" i="20" s="1"/>
  <c r="B19" i="20"/>
  <c r="B20" i="20" s="1"/>
  <c r="B27" i="20" s="1"/>
  <c r="B3" i="21" s="1"/>
  <c r="X21" i="26"/>
  <c r="X20" i="26"/>
  <c r="Q27" i="26"/>
  <c r="J34" i="26"/>
  <c r="E34" i="26"/>
  <c r="X34" i="26"/>
  <c r="X30" i="26"/>
  <c r="X31" i="26"/>
  <c r="L21" i="14"/>
  <c r="J21" i="14"/>
  <c r="I21" i="14"/>
  <c r="F21" i="14"/>
  <c r="E21" i="14"/>
  <c r="L20" i="14"/>
  <c r="J20" i="14"/>
  <c r="I20" i="14"/>
  <c r="F20" i="14"/>
  <c r="E20" i="14"/>
  <c r="K20" i="14" s="1"/>
  <c r="L19" i="14"/>
  <c r="J19" i="14"/>
  <c r="I19" i="14"/>
  <c r="F19" i="14"/>
  <c r="E19" i="14"/>
  <c r="L18" i="14"/>
  <c r="J18" i="14"/>
  <c r="I18" i="14"/>
  <c r="F18" i="14"/>
  <c r="E18" i="14"/>
  <c r="K18" i="14" s="1"/>
  <c r="L17" i="14"/>
  <c r="J17" i="14"/>
  <c r="I17" i="14"/>
  <c r="F17" i="14"/>
  <c r="E17" i="14"/>
  <c r="L16" i="14"/>
  <c r="J16" i="14"/>
  <c r="I16" i="14"/>
  <c r="F16" i="14"/>
  <c r="E16" i="14"/>
  <c r="K16" i="14" s="1"/>
  <c r="L15" i="14"/>
  <c r="J15" i="14"/>
  <c r="I15" i="14"/>
  <c r="F15" i="14"/>
  <c r="E15" i="14"/>
  <c r="J14" i="14"/>
  <c r="I14" i="14"/>
  <c r="F14" i="14"/>
  <c r="E14" i="14"/>
  <c r="L13" i="14"/>
  <c r="J13" i="14"/>
  <c r="I13" i="14"/>
  <c r="F13" i="14"/>
  <c r="E13" i="14"/>
  <c r="K13" i="14" s="1"/>
  <c r="J12" i="14"/>
  <c r="I12" i="14"/>
  <c r="F12" i="14"/>
  <c r="E12" i="14"/>
  <c r="K12" i="14" s="1"/>
  <c r="L11" i="14"/>
  <c r="J11" i="14"/>
  <c r="I11" i="14"/>
  <c r="F11" i="14"/>
  <c r="E11" i="14"/>
  <c r="L10" i="14"/>
  <c r="J10" i="14"/>
  <c r="I10" i="14"/>
  <c r="F10" i="14"/>
  <c r="E10" i="14"/>
  <c r="K10" i="14" s="1"/>
  <c r="L9" i="14"/>
  <c r="J9" i="14"/>
  <c r="I9" i="14"/>
  <c r="F9" i="14"/>
  <c r="E9" i="14"/>
  <c r="L8" i="14"/>
  <c r="J8" i="14"/>
  <c r="I8" i="14"/>
  <c r="F8" i="14"/>
  <c r="E8" i="14"/>
  <c r="K8" i="14" s="1"/>
  <c r="L7" i="14"/>
  <c r="J7" i="14"/>
  <c r="I7" i="14"/>
  <c r="F7" i="14"/>
  <c r="E7" i="14"/>
  <c r="J6" i="14"/>
  <c r="I6" i="14"/>
  <c r="F6" i="14"/>
  <c r="E6" i="14"/>
  <c r="K6" i="14" s="1"/>
  <c r="L5" i="14"/>
  <c r="J5" i="14"/>
  <c r="I5" i="14"/>
  <c r="F5" i="14"/>
  <c r="E5" i="14"/>
  <c r="K5" i="14" s="1"/>
  <c r="L4" i="14"/>
  <c r="J4" i="14"/>
  <c r="I4" i="14"/>
  <c r="F4" i="14"/>
  <c r="E4" i="14"/>
  <c r="J3" i="14"/>
  <c r="I3" i="14"/>
  <c r="F3" i="14"/>
  <c r="E3" i="14"/>
  <c r="L2" i="14"/>
  <c r="L22" i="14" s="1"/>
  <c r="L24" i="14" s="1"/>
  <c r="J2" i="14"/>
  <c r="J22" i="14" s="1"/>
  <c r="J24" i="14" s="1"/>
  <c r="I2" i="14"/>
  <c r="I22" i="14" s="1"/>
  <c r="I24" i="14" s="1"/>
  <c r="F2" i="14"/>
  <c r="F22" i="14" s="1"/>
  <c r="F24" i="14" s="1"/>
  <c r="E2" i="14"/>
  <c r="E22" i="14" s="1"/>
  <c r="E24" i="14" s="1"/>
  <c r="K3" i="14" l="1"/>
  <c r="K4" i="14"/>
  <c r="K7" i="14"/>
  <c r="K9" i="14"/>
  <c r="K11" i="14"/>
  <c r="K14" i="14"/>
  <c r="K15" i="14"/>
  <c r="K17" i="14"/>
  <c r="K19" i="14"/>
  <c r="K21" i="14"/>
  <c r="B4" i="21"/>
  <c r="D3" i="21"/>
  <c r="E2" i="21" s="1"/>
  <c r="G2" i="21" s="1"/>
  <c r="X25" i="26"/>
  <c r="X26" i="26"/>
  <c r="V27" i="26" s="1"/>
  <c r="K2" i="14"/>
  <c r="K22" i="14" s="1"/>
  <c r="K24" i="14" s="1"/>
  <c r="W23" i="13"/>
  <c r="W22" i="13"/>
  <c r="W21" i="13"/>
  <c r="W20" i="13"/>
  <c r="AM43" i="12" l="1"/>
  <c r="AL43" i="12"/>
  <c r="AK43" i="12"/>
  <c r="AJ43" i="12"/>
  <c r="AI43" i="12"/>
  <c r="AH43" i="12"/>
  <c r="AG43" i="12"/>
  <c r="AF43" i="12"/>
  <c r="AE43" i="12"/>
  <c r="AD43" i="12"/>
  <c r="AC43" i="12"/>
  <c r="AB43" i="12"/>
  <c r="AA43" i="12"/>
  <c r="Z43" i="12"/>
  <c r="Y43" i="12"/>
  <c r="X43" i="12"/>
  <c r="W43" i="12"/>
  <c r="V43" i="12"/>
  <c r="U43" i="12"/>
  <c r="T43" i="12"/>
  <c r="S43" i="12"/>
  <c r="R43" i="12"/>
  <c r="Q43" i="12"/>
  <c r="P43" i="12"/>
  <c r="O43" i="12"/>
  <c r="N43" i="12"/>
  <c r="M43" i="12"/>
  <c r="L43" i="12"/>
  <c r="K43" i="12"/>
  <c r="J43" i="12"/>
  <c r="I43" i="12"/>
  <c r="H43" i="12"/>
  <c r="AM42" i="12"/>
  <c r="AL42" i="12"/>
  <c r="AK42" i="12"/>
  <c r="AJ42" i="12"/>
  <c r="AI42" i="12"/>
  <c r="AH42" i="12"/>
  <c r="AG42" i="12"/>
  <c r="AF42" i="12"/>
  <c r="AE42" i="12"/>
  <c r="AD42" i="12"/>
  <c r="AC42" i="12"/>
  <c r="AB42" i="12"/>
  <c r="AA42" i="12"/>
  <c r="Z42" i="12"/>
  <c r="Y42" i="12"/>
  <c r="X42" i="12"/>
  <c r="W42" i="12"/>
  <c r="V42" i="12"/>
  <c r="U42" i="12"/>
  <c r="T42" i="12"/>
  <c r="S42" i="12"/>
  <c r="R42" i="12"/>
  <c r="Q42" i="12"/>
  <c r="P42" i="12"/>
  <c r="O42" i="12"/>
  <c r="N42" i="12"/>
  <c r="M42" i="12"/>
  <c r="L42" i="12"/>
  <c r="K42" i="12"/>
  <c r="J42" i="12"/>
  <c r="I42" i="12"/>
  <c r="H42" i="12"/>
  <c r="AM41" i="12"/>
  <c r="AL41" i="12"/>
  <c r="AK41" i="12"/>
  <c r="AJ41" i="12"/>
  <c r="AI41" i="12"/>
  <c r="AH41" i="12"/>
  <c r="AG41" i="12"/>
  <c r="AF41" i="12"/>
  <c r="AE41" i="12"/>
  <c r="AD41" i="12"/>
  <c r="AC41" i="12"/>
  <c r="AB41" i="12"/>
  <c r="AA41" i="12"/>
  <c r="Z41" i="12"/>
  <c r="Y41" i="12"/>
  <c r="X41" i="12"/>
  <c r="W41" i="12"/>
  <c r="V41" i="12"/>
  <c r="U41" i="12"/>
  <c r="T41" i="12"/>
  <c r="S41" i="12"/>
  <c r="R41" i="12"/>
  <c r="Q41" i="12"/>
  <c r="P41" i="12"/>
  <c r="O41" i="12"/>
  <c r="N41" i="12"/>
  <c r="M41" i="12"/>
  <c r="L41" i="12"/>
  <c r="K41" i="12"/>
  <c r="J41" i="12"/>
  <c r="I41" i="12"/>
  <c r="H41" i="12"/>
  <c r="AM40" i="12"/>
  <c r="AL40" i="12"/>
  <c r="AK40" i="12"/>
  <c r="AJ40" i="12"/>
  <c r="AI40" i="12"/>
  <c r="AH40" i="12"/>
  <c r="AG40" i="12"/>
  <c r="AF40" i="12"/>
  <c r="AE40" i="12"/>
  <c r="AD40" i="12"/>
  <c r="AC40" i="12"/>
  <c r="AB40" i="12"/>
  <c r="AA40" i="12"/>
  <c r="Z40" i="12"/>
  <c r="Y40" i="12"/>
  <c r="X40" i="12"/>
  <c r="W40" i="12"/>
  <c r="V40" i="12"/>
  <c r="U40" i="12"/>
  <c r="T40" i="12"/>
  <c r="S40" i="12"/>
  <c r="R40" i="12"/>
  <c r="Q40" i="12"/>
  <c r="P40" i="12"/>
  <c r="O40" i="12"/>
  <c r="N40" i="12"/>
  <c r="M40" i="12"/>
  <c r="L40" i="12"/>
  <c r="K40" i="12"/>
  <c r="J40" i="12"/>
  <c r="I40" i="12"/>
  <c r="H40" i="12"/>
  <c r="AM39" i="12"/>
  <c r="AL39" i="12"/>
  <c r="AK39" i="12"/>
  <c r="AJ39" i="12"/>
  <c r="AI39" i="12"/>
  <c r="AH39" i="12"/>
  <c r="AG39" i="12"/>
  <c r="AF39" i="12"/>
  <c r="AE39" i="12"/>
  <c r="AD39" i="12"/>
  <c r="AC39" i="12"/>
  <c r="AB39" i="12"/>
  <c r="AA39" i="12"/>
  <c r="Z39" i="12"/>
  <c r="Y39" i="12"/>
  <c r="X39" i="12"/>
  <c r="W39" i="12"/>
  <c r="V39" i="12"/>
  <c r="U39" i="12"/>
  <c r="T39" i="12"/>
  <c r="S39" i="12"/>
  <c r="R39" i="12"/>
  <c r="Q39" i="12"/>
  <c r="P39" i="12"/>
  <c r="O39" i="12"/>
  <c r="N39" i="12"/>
  <c r="M39" i="12"/>
  <c r="L39" i="12"/>
  <c r="K39" i="12"/>
  <c r="J39" i="12"/>
  <c r="I39" i="12"/>
  <c r="H39" i="12"/>
  <c r="AM38" i="12"/>
  <c r="AL38" i="12"/>
  <c r="AK38" i="12"/>
  <c r="AJ38" i="12"/>
  <c r="AI38" i="12"/>
  <c r="AH38" i="12"/>
  <c r="AG38" i="12"/>
  <c r="AF38" i="12"/>
  <c r="AE38" i="12"/>
  <c r="AD38" i="12"/>
  <c r="AC38" i="12"/>
  <c r="AB38" i="12"/>
  <c r="AA38" i="12"/>
  <c r="Z38" i="12"/>
  <c r="Y38" i="12"/>
  <c r="X38" i="12"/>
  <c r="W38" i="12"/>
  <c r="V38" i="12"/>
  <c r="U38" i="12"/>
  <c r="T38" i="12"/>
  <c r="S38" i="12"/>
  <c r="R38" i="12"/>
  <c r="Q38" i="12"/>
  <c r="P38" i="12"/>
  <c r="O38" i="12"/>
  <c r="N38" i="12"/>
  <c r="M38" i="12"/>
  <c r="L38" i="12"/>
  <c r="K38" i="12"/>
  <c r="J38" i="12"/>
  <c r="I38" i="12"/>
  <c r="H38" i="12"/>
  <c r="AM37" i="12"/>
  <c r="AL37" i="12"/>
  <c r="AK37" i="12"/>
  <c r="AJ37" i="12"/>
  <c r="AI37" i="12"/>
  <c r="AH37" i="12"/>
  <c r="AG37" i="12"/>
  <c r="AF37" i="12"/>
  <c r="AE37" i="12"/>
  <c r="AD37" i="12"/>
  <c r="AC37" i="12"/>
  <c r="AB37" i="12"/>
  <c r="AA37" i="12"/>
  <c r="Z37" i="12"/>
  <c r="Y37" i="12"/>
  <c r="X37" i="12"/>
  <c r="W37" i="12"/>
  <c r="V37" i="12"/>
  <c r="U37" i="12"/>
  <c r="T37" i="12"/>
  <c r="S37" i="12"/>
  <c r="R37" i="12"/>
  <c r="Q37" i="12"/>
  <c r="P37" i="12"/>
  <c r="O37" i="12"/>
  <c r="N37" i="12"/>
  <c r="M37" i="12"/>
  <c r="L37" i="12"/>
  <c r="K37" i="12"/>
  <c r="J37" i="12"/>
  <c r="I37" i="12"/>
  <c r="H37" i="12"/>
  <c r="AM36" i="12"/>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AM35" i="12"/>
  <c r="AL35" i="12"/>
  <c r="AK35" i="12"/>
  <c r="AJ35" i="12"/>
  <c r="AI35" i="12"/>
  <c r="AH35" i="12"/>
  <c r="AG35" i="12"/>
  <c r="AF35" i="12"/>
  <c r="AE35" i="12"/>
  <c r="AD35" i="12"/>
  <c r="AC35" i="12"/>
  <c r="AB35" i="12"/>
  <c r="AA35" i="12"/>
  <c r="Z35" i="12"/>
  <c r="Y35" i="12"/>
  <c r="X35" i="12"/>
  <c r="W35" i="12"/>
  <c r="V35" i="12"/>
  <c r="U35" i="12"/>
  <c r="T35" i="12"/>
  <c r="S35" i="12"/>
  <c r="R35" i="12"/>
  <c r="Q35" i="12"/>
  <c r="P35" i="12"/>
  <c r="O35" i="12"/>
  <c r="N35" i="12"/>
  <c r="M35" i="12"/>
  <c r="L35" i="12"/>
  <c r="K35" i="12"/>
  <c r="J35" i="12"/>
  <c r="I35" i="12"/>
  <c r="H35" i="12"/>
  <c r="AM34" i="12"/>
  <c r="AL34" i="12"/>
  <c r="AK34" i="12"/>
  <c r="AJ34" i="12"/>
  <c r="AI34" i="12"/>
  <c r="AH34" i="12"/>
  <c r="AG34" i="12"/>
  <c r="AF34" i="12"/>
  <c r="AE34" i="12"/>
  <c r="AD34" i="12"/>
  <c r="AC34" i="12"/>
  <c r="AB34" i="12"/>
  <c r="AA34" i="12"/>
  <c r="Z34" i="12"/>
  <c r="Y34" i="12"/>
  <c r="X34" i="12"/>
  <c r="W34" i="12"/>
  <c r="V34" i="12"/>
  <c r="U34" i="12"/>
  <c r="T34" i="12"/>
  <c r="S34" i="12"/>
  <c r="R34" i="12"/>
  <c r="Q34" i="12"/>
  <c r="P34" i="12"/>
  <c r="O34" i="12"/>
  <c r="N34" i="12"/>
  <c r="M34" i="12"/>
  <c r="L34" i="12"/>
  <c r="K34" i="12"/>
  <c r="J34" i="12"/>
  <c r="I34" i="12"/>
  <c r="H34" i="12"/>
  <c r="AM33" i="12"/>
  <c r="AL33" i="12"/>
  <c r="AK33" i="12"/>
  <c r="AJ33" i="12"/>
  <c r="AI33" i="12"/>
  <c r="AH33" i="12"/>
  <c r="AG33" i="12"/>
  <c r="AF33" i="12"/>
  <c r="AE33" i="12"/>
  <c r="AD33" i="12"/>
  <c r="AC33" i="12"/>
  <c r="AB33" i="12"/>
  <c r="AA33" i="12"/>
  <c r="Z33" i="12"/>
  <c r="Y33" i="12"/>
  <c r="X33" i="12"/>
  <c r="W33" i="12"/>
  <c r="V33" i="12"/>
  <c r="U33" i="12"/>
  <c r="T33" i="12"/>
  <c r="S33" i="12"/>
  <c r="R33" i="12"/>
  <c r="Q33" i="12"/>
  <c r="P33" i="12"/>
  <c r="O33" i="12"/>
  <c r="N33" i="12"/>
  <c r="M33" i="12"/>
  <c r="L33" i="12"/>
  <c r="K33" i="12"/>
  <c r="J33" i="12"/>
  <c r="I33" i="12"/>
  <c r="H33" i="12"/>
  <c r="AM32" i="12"/>
  <c r="AL32" i="12"/>
  <c r="AK32" i="12"/>
  <c r="AJ32" i="12"/>
  <c r="AI32" i="12"/>
  <c r="AH32" i="12"/>
  <c r="AG32" i="12"/>
  <c r="AF32" i="12"/>
  <c r="AE32" i="12"/>
  <c r="AD32" i="12"/>
  <c r="AC32" i="12"/>
  <c r="AB32" i="12"/>
  <c r="AA32" i="12"/>
  <c r="Z32" i="12"/>
  <c r="Y32" i="12"/>
  <c r="X32" i="12"/>
  <c r="W32" i="12"/>
  <c r="V32" i="12"/>
  <c r="U32" i="12"/>
  <c r="T32" i="12"/>
  <c r="S32" i="12"/>
  <c r="R32" i="12"/>
  <c r="Q32" i="12"/>
  <c r="P32" i="12"/>
  <c r="O32" i="12"/>
  <c r="N32" i="12"/>
  <c r="M32" i="12"/>
  <c r="L32" i="12"/>
  <c r="K32" i="12"/>
  <c r="J32" i="12"/>
  <c r="I32" i="12"/>
  <c r="H32" i="12"/>
  <c r="AM31" i="12"/>
  <c r="AL31" i="12"/>
  <c r="AK31" i="12"/>
  <c r="AJ31" i="12"/>
  <c r="AI31" i="12"/>
  <c r="AH31" i="12"/>
  <c r="AG31" i="12"/>
  <c r="AF31" i="12"/>
  <c r="AE31" i="12"/>
  <c r="AD31" i="12"/>
  <c r="AC31" i="12"/>
  <c r="AB31" i="12"/>
  <c r="AA31" i="12"/>
  <c r="Z31" i="12"/>
  <c r="Y31" i="12"/>
  <c r="X31" i="12"/>
  <c r="W31" i="12"/>
  <c r="V31" i="12"/>
  <c r="U31" i="12"/>
  <c r="T31" i="12"/>
  <c r="S31" i="12"/>
  <c r="R31" i="12"/>
  <c r="Q31" i="12"/>
  <c r="P31" i="12"/>
  <c r="O31" i="12"/>
  <c r="N31" i="12"/>
  <c r="M31" i="12"/>
  <c r="L31" i="12"/>
  <c r="K31" i="12"/>
  <c r="J31" i="12"/>
  <c r="I31" i="12"/>
  <c r="H31" i="12"/>
  <c r="AM30" i="12"/>
  <c r="AL30" i="12"/>
  <c r="AK30" i="12"/>
  <c r="AJ30" i="12"/>
  <c r="AI30" i="12"/>
  <c r="AH30" i="12"/>
  <c r="AG30" i="12"/>
  <c r="AF30" i="12"/>
  <c r="AE30" i="12"/>
  <c r="AD30" i="12"/>
  <c r="AC30" i="12"/>
  <c r="AB30" i="12"/>
  <c r="AA30" i="12"/>
  <c r="Z30" i="12"/>
  <c r="Y30" i="12"/>
  <c r="X30" i="12"/>
  <c r="W30" i="12"/>
  <c r="V30" i="12"/>
  <c r="U30" i="12"/>
  <c r="T30" i="12"/>
  <c r="S30" i="12"/>
  <c r="R30" i="12"/>
  <c r="Q30" i="12"/>
  <c r="P30" i="12"/>
  <c r="O30" i="12"/>
  <c r="N30" i="12"/>
  <c r="M30" i="12"/>
  <c r="L30" i="12"/>
  <c r="K30" i="12"/>
  <c r="J30" i="12"/>
  <c r="I30" i="12"/>
  <c r="H30" i="12"/>
  <c r="AM29" i="12"/>
  <c r="AL29" i="12"/>
  <c r="AK29" i="12"/>
  <c r="AJ29" i="12"/>
  <c r="AI29" i="12"/>
  <c r="AH29" i="12"/>
  <c r="AG29" i="12"/>
  <c r="AF29" i="12"/>
  <c r="AE29" i="12"/>
  <c r="AD29" i="12"/>
  <c r="AC29" i="12"/>
  <c r="AB29" i="12"/>
  <c r="AA29" i="12"/>
  <c r="Z29" i="12"/>
  <c r="Y29" i="12"/>
  <c r="X29" i="12"/>
  <c r="W29" i="12"/>
  <c r="V29" i="12"/>
  <c r="U29" i="12"/>
  <c r="T29" i="12"/>
  <c r="S29" i="12"/>
  <c r="R29" i="12"/>
  <c r="Q29" i="12"/>
  <c r="P29" i="12"/>
  <c r="O29" i="12"/>
  <c r="N29" i="12"/>
  <c r="M29" i="12"/>
  <c r="L29" i="12"/>
  <c r="K29" i="12"/>
  <c r="J29" i="12"/>
  <c r="I29" i="12"/>
  <c r="H29"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N27" i="12"/>
  <c r="M27" i="12"/>
  <c r="L27" i="12"/>
  <c r="K27" i="12"/>
  <c r="J27" i="12"/>
  <c r="I27" i="12"/>
  <c r="H27" i="12"/>
  <c r="AM26" i="12"/>
  <c r="AL26" i="12"/>
  <c r="AK26" i="12"/>
  <c r="AJ26" i="12"/>
  <c r="AI26" i="12"/>
  <c r="AH26" i="12"/>
  <c r="AG26" i="12"/>
  <c r="AF26" i="12"/>
  <c r="AE26" i="12"/>
  <c r="AD26" i="12"/>
  <c r="AC26" i="12"/>
  <c r="AB26" i="12"/>
  <c r="AA26" i="12"/>
  <c r="Z26" i="12"/>
  <c r="Y26" i="12"/>
  <c r="X26" i="12"/>
  <c r="W26" i="12"/>
  <c r="V26" i="12"/>
  <c r="U26" i="12"/>
  <c r="T26" i="12"/>
  <c r="S26" i="12"/>
  <c r="R26" i="12"/>
  <c r="Q26" i="12"/>
  <c r="P26" i="12"/>
  <c r="O26" i="12"/>
  <c r="N26" i="12"/>
  <c r="M26" i="12"/>
  <c r="L26" i="12"/>
  <c r="K26" i="12"/>
  <c r="J26" i="12"/>
  <c r="I26" i="12"/>
  <c r="H26" i="12"/>
  <c r="AM25" i="12"/>
  <c r="AL25" i="12"/>
  <c r="AK25" i="12"/>
  <c r="AJ25" i="12"/>
  <c r="AI25" i="12"/>
  <c r="AH25" i="12"/>
  <c r="AG25" i="12"/>
  <c r="AF25" i="12"/>
  <c r="AE25" i="12"/>
  <c r="AD25" i="12"/>
  <c r="AC25" i="12"/>
  <c r="AB25" i="12"/>
  <c r="AA25" i="12"/>
  <c r="Z25" i="12"/>
  <c r="Y25" i="12"/>
  <c r="X25" i="12"/>
  <c r="W25" i="12"/>
  <c r="V25" i="12"/>
  <c r="U25" i="12"/>
  <c r="T25" i="12"/>
  <c r="S25" i="12"/>
  <c r="R25" i="12"/>
  <c r="Q25" i="12"/>
  <c r="P25" i="12"/>
  <c r="O25" i="12"/>
  <c r="N25" i="12"/>
  <c r="M25" i="12"/>
  <c r="L25" i="12"/>
  <c r="K25" i="12"/>
  <c r="J25" i="12"/>
  <c r="I25" i="12"/>
  <c r="H25"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AM18" i="12"/>
  <c r="AL18" i="12"/>
  <c r="AK18" i="12"/>
  <c r="AJ18" i="12"/>
  <c r="AI18" i="12"/>
  <c r="AH18" i="12"/>
  <c r="AG18" i="12"/>
  <c r="AF18" i="12"/>
  <c r="AE18" i="12"/>
  <c r="AD18" i="12"/>
  <c r="AC18" i="12"/>
  <c r="AB18" i="12"/>
  <c r="AA18" i="12"/>
  <c r="Z18" i="12"/>
  <c r="Y18" i="12"/>
  <c r="X18" i="12"/>
  <c r="W18" i="12"/>
  <c r="V18" i="12"/>
  <c r="U18" i="12"/>
  <c r="T18" i="12"/>
  <c r="S18" i="12"/>
  <c r="R18" i="12"/>
  <c r="Q18" i="12"/>
  <c r="P18" i="12"/>
  <c r="O18" i="12"/>
  <c r="N18" i="12"/>
  <c r="M18" i="12"/>
  <c r="L18" i="12"/>
  <c r="K18" i="12"/>
  <c r="J18" i="12"/>
  <c r="I18" i="12"/>
  <c r="H18" i="12"/>
  <c r="AM17" i="12"/>
  <c r="AL17" i="12"/>
  <c r="AK17" i="12"/>
  <c r="AJ17" i="12"/>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AM16" i="12"/>
  <c r="AL16" i="12"/>
  <c r="AK16" i="12"/>
  <c r="AJ16" i="12"/>
  <c r="AI16" i="12"/>
  <c r="AH16" i="12"/>
  <c r="AG16" i="12"/>
  <c r="AF16" i="12"/>
  <c r="AE16" i="12"/>
  <c r="AD16" i="12"/>
  <c r="AC16" i="12"/>
  <c r="AB16" i="12"/>
  <c r="AA16" i="12"/>
  <c r="Z16" i="12"/>
  <c r="Y16" i="12"/>
  <c r="X16" i="12"/>
  <c r="W16" i="12"/>
  <c r="V16" i="12"/>
  <c r="U16" i="12"/>
  <c r="T16" i="12"/>
  <c r="S16" i="12"/>
  <c r="R16" i="12"/>
  <c r="Q16" i="12"/>
  <c r="P16" i="12"/>
  <c r="O16" i="12"/>
  <c r="N16" i="12"/>
  <c r="M16" i="12"/>
  <c r="L16" i="12"/>
  <c r="K16" i="12"/>
  <c r="J16" i="12"/>
  <c r="I16" i="12"/>
  <c r="H16" i="12"/>
  <c r="AM15" i="12"/>
  <c r="AL15" i="12"/>
  <c r="AK15" i="12"/>
  <c r="AJ15"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AM14" i="12"/>
  <c r="AL14" i="12"/>
  <c r="AK14" i="12"/>
  <c r="AJ14"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AM13" i="12"/>
  <c r="AL13" i="12"/>
  <c r="AK13" i="12"/>
  <c r="AJ13"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AM12" i="12"/>
  <c r="AL12" i="12"/>
  <c r="AK12" i="12"/>
  <c r="AJ12"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AM11" i="12"/>
  <c r="AL11" i="12"/>
  <c r="AK11" i="12"/>
  <c r="AJ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AM10" i="12"/>
  <c r="AL10" i="12"/>
  <c r="AK10" i="12"/>
  <c r="AJ10"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AM9" i="12"/>
  <c r="AL9" i="12"/>
  <c r="AK9"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AM8" i="12"/>
  <c r="AL8" i="12"/>
  <c r="AK8" i="12"/>
  <c r="AJ8" i="12"/>
  <c r="AI8" i="12"/>
  <c r="AH8" i="12"/>
  <c r="AG8" i="12"/>
  <c r="AF8" i="12"/>
  <c r="AE8" i="12"/>
  <c r="AD8" i="12"/>
  <c r="AC8" i="12"/>
  <c r="AB8" i="12"/>
  <c r="AA8" i="12"/>
  <c r="Z8" i="12"/>
  <c r="Y8" i="12"/>
  <c r="X8" i="12"/>
  <c r="W8" i="12"/>
  <c r="V8" i="12"/>
  <c r="U8" i="12"/>
  <c r="T8" i="12"/>
  <c r="S8" i="12"/>
  <c r="R8" i="12"/>
  <c r="Q8" i="12"/>
  <c r="P8" i="12"/>
  <c r="O8" i="12"/>
  <c r="N8" i="12"/>
  <c r="M8" i="12"/>
  <c r="L8" i="12"/>
  <c r="K8" i="12"/>
  <c r="J8" i="12"/>
  <c r="I8" i="12"/>
  <c r="H8" i="12"/>
  <c r="AM7" i="12"/>
  <c r="AL7" i="12"/>
  <c r="AK7" i="12"/>
  <c r="AJ7" i="12"/>
  <c r="AI7" i="12"/>
  <c r="AH7" i="12"/>
  <c r="AG7" i="12"/>
  <c r="AF7" i="12"/>
  <c r="AE7" i="12"/>
  <c r="AD7" i="12"/>
  <c r="AC7" i="12"/>
  <c r="AB7" i="12"/>
  <c r="AA7" i="12"/>
  <c r="Z7" i="12"/>
  <c r="Y7" i="12"/>
  <c r="X7" i="12"/>
  <c r="W7" i="12"/>
  <c r="V7" i="12"/>
  <c r="U7" i="12"/>
  <c r="T7" i="12"/>
  <c r="S7" i="12"/>
  <c r="R7" i="12"/>
  <c r="Q7" i="12"/>
  <c r="P7" i="12"/>
  <c r="O7" i="12"/>
  <c r="N7" i="12"/>
  <c r="M7" i="12"/>
  <c r="L7" i="12"/>
  <c r="K7" i="12"/>
  <c r="J7" i="12"/>
  <c r="I7" i="12"/>
  <c r="H7"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M6" i="12"/>
  <c r="L6" i="12"/>
  <c r="K6" i="12"/>
  <c r="J6" i="12"/>
  <c r="I6" i="12"/>
  <c r="H6" i="12"/>
  <c r="AM5" i="12"/>
  <c r="AL5" i="12"/>
  <c r="AK5" i="12"/>
  <c r="AJ5" i="12"/>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AM4" i="12"/>
  <c r="AL4" i="12"/>
  <c r="AK4" i="12"/>
  <c r="AJ4" i="12"/>
  <c r="AI4" i="12"/>
  <c r="AH4" i="12"/>
  <c r="AG4" i="12"/>
  <c r="AF4" i="12"/>
  <c r="AE4" i="12"/>
  <c r="AD4" i="12"/>
  <c r="AC4" i="12"/>
  <c r="AB4" i="12"/>
  <c r="AA4" i="12"/>
  <c r="Z4" i="12"/>
  <c r="Y4" i="12"/>
  <c r="X4" i="12"/>
  <c r="W4" i="12"/>
  <c r="V4" i="12"/>
  <c r="U4" i="12"/>
  <c r="T4" i="12"/>
  <c r="S4" i="12"/>
  <c r="R4" i="12"/>
  <c r="Q4" i="12"/>
  <c r="P4" i="12"/>
  <c r="O4" i="12"/>
  <c r="N4" i="12"/>
  <c r="M4" i="12"/>
  <c r="L4" i="12"/>
  <c r="K4" i="12"/>
  <c r="J4" i="12"/>
  <c r="I4" i="12"/>
  <c r="H4" i="12"/>
  <c r="X44" i="10" l="1"/>
  <c r="W44" i="10"/>
  <c r="V44" i="10"/>
  <c r="U44" i="10"/>
  <c r="T44" i="10"/>
  <c r="S44" i="10"/>
  <c r="R44" i="10"/>
  <c r="Q44" i="10"/>
  <c r="P44" i="10"/>
  <c r="O44" i="10"/>
  <c r="N44" i="10"/>
  <c r="M44" i="10"/>
  <c r="L44" i="10"/>
  <c r="X43" i="10"/>
  <c r="W43" i="10"/>
  <c r="V43" i="10"/>
  <c r="U43" i="10"/>
  <c r="T43" i="10"/>
  <c r="S43" i="10"/>
  <c r="R43" i="10"/>
  <c r="Q43" i="10"/>
  <c r="P43" i="10"/>
  <c r="O43" i="10"/>
  <c r="N43" i="10"/>
  <c r="M43" i="10"/>
  <c r="L43" i="10"/>
  <c r="X42" i="10"/>
  <c r="W42" i="10"/>
  <c r="V42" i="10"/>
  <c r="U42" i="10"/>
  <c r="T42" i="10"/>
  <c r="S42" i="10"/>
  <c r="R42" i="10"/>
  <c r="Q42" i="10"/>
  <c r="P42" i="10"/>
  <c r="O42" i="10"/>
  <c r="N42" i="10"/>
  <c r="M42" i="10"/>
  <c r="L42" i="10"/>
  <c r="X41" i="10"/>
  <c r="W41" i="10"/>
  <c r="V41" i="10"/>
  <c r="U41" i="10"/>
  <c r="T41" i="10"/>
  <c r="S41" i="10"/>
  <c r="R41" i="10"/>
  <c r="Q41" i="10"/>
  <c r="P41" i="10"/>
  <c r="O41" i="10"/>
  <c r="N41" i="10"/>
  <c r="M41" i="10"/>
  <c r="L41" i="10"/>
  <c r="K41" i="10"/>
  <c r="J41" i="10"/>
  <c r="I41" i="10"/>
  <c r="H41" i="10"/>
  <c r="G41" i="10"/>
  <c r="F41" i="10"/>
  <c r="E41" i="10"/>
  <c r="B23" i="10"/>
  <c r="B22" i="10"/>
  <c r="B21" i="10"/>
  <c r="B20" i="10"/>
  <c r="B19" i="10"/>
  <c r="B18" i="10"/>
  <c r="B17" i="10"/>
  <c r="B16" i="10"/>
  <c r="B15" i="10"/>
  <c r="B14" i="10"/>
  <c r="B13" i="10"/>
  <c r="B12" i="10"/>
  <c r="B11" i="10"/>
  <c r="B10" i="10"/>
  <c r="B9" i="10"/>
  <c r="B8" i="10"/>
  <c r="B7" i="10"/>
  <c r="B6" i="10"/>
  <c r="B5" i="10"/>
  <c r="B4" i="10"/>
  <c r="I9" i="9"/>
  <c r="I8" i="9"/>
  <c r="I7" i="9"/>
  <c r="I6" i="9"/>
  <c r="I5" i="9"/>
  <c r="I4" i="9"/>
  <c r="I10" i="9" s="1"/>
  <c r="F42" i="10" l="1"/>
  <c r="H42" i="10"/>
  <c r="J42" i="10"/>
  <c r="K42" i="10"/>
  <c r="I42" i="10"/>
  <c r="G42" i="10"/>
  <c r="E42" i="10"/>
  <c r="J2" i="9"/>
  <c r="J3" i="9"/>
  <c r="J6" i="9"/>
  <c r="J8" i="9"/>
  <c r="J5" i="9"/>
  <c r="J7" i="9"/>
  <c r="J9" i="9"/>
  <c r="J4" i="9"/>
  <c r="K43" i="10" l="1"/>
  <c r="E43" i="10"/>
  <c r="J43" i="10"/>
  <c r="G43" i="10"/>
  <c r="I43" i="10"/>
  <c r="H43" i="10"/>
  <c r="F43" i="10"/>
  <c r="C9" i="7"/>
  <c r="B9" i="7"/>
  <c r="D8" i="7"/>
  <c r="D7" i="7"/>
  <c r="D6" i="7"/>
  <c r="D5" i="7"/>
  <c r="D4" i="7"/>
  <c r="D3" i="7"/>
  <c r="B11" i="7" s="1"/>
  <c r="B12" i="7" l="1"/>
  <c r="D9" i="7"/>
  <c r="K44" i="10"/>
  <c r="J44" i="10"/>
  <c r="I44" i="10"/>
  <c r="H44" i="10"/>
  <c r="F44" i="10"/>
  <c r="E44" i="10"/>
  <c r="G44" i="10"/>
  <c r="AA59" i="5"/>
  <c r="W59" i="5"/>
  <c r="S59" i="5"/>
  <c r="O59" i="5"/>
  <c r="K59" i="5"/>
  <c r="G59" i="5"/>
  <c r="AE59" i="5" s="1"/>
  <c r="C59" i="5"/>
  <c r="Y57" i="5"/>
  <c r="U57" i="5"/>
  <c r="Q57" i="5"/>
  <c r="M57" i="5"/>
  <c r="I57" i="5"/>
  <c r="E57" i="5"/>
  <c r="AE14" i="5"/>
  <c r="V59" i="4"/>
  <c r="V57" i="4"/>
  <c r="G47" i="3"/>
  <c r="G38" i="3"/>
  <c r="G29" i="3"/>
  <c r="G20" i="3"/>
  <c r="G11" i="3"/>
  <c r="AE57" i="5" l="1"/>
  <c r="C4" i="2" l="1"/>
  <c r="C6" i="2" s="1"/>
  <c r="C7" i="2" s="1"/>
  <c r="C9" i="2" s="1"/>
  <c r="C14" i="2" l="1"/>
  <c r="C15" i="2" s="1"/>
  <c r="C10" i="2"/>
  <c r="C11" i="2" s="1"/>
</calcChain>
</file>

<file path=xl/comments1.xml><?xml version="1.0" encoding="utf-8"?>
<comments xmlns="http://schemas.openxmlformats.org/spreadsheetml/2006/main">
  <authors>
    <author>Kevin Otto</author>
  </authors>
  <commentList>
    <comment ref="B45" authorId="0">
      <text>
        <r>
          <rPr>
            <b/>
            <sz val="8"/>
            <color indexed="81"/>
            <rFont val="Tahoma"/>
            <family val="2"/>
          </rPr>
          <t>Kevin Otto:</t>
        </r>
        <r>
          <rPr>
            <sz val="8"/>
            <color indexed="81"/>
            <rFont val="Tahoma"/>
            <family val="2"/>
          </rPr>
          <t xml:space="preserve">
From the test lab data or technical brochures, enter the best performing on the BIC line, average on the average, and worst on the WIC line.</t>
        </r>
      </text>
    </comment>
    <comment ref="C48" authorId="0">
      <text>
        <r>
          <rPr>
            <b/>
            <sz val="8"/>
            <color indexed="81"/>
            <rFont val="Tahoma"/>
            <family val="2"/>
          </rPr>
          <t>Kevin Otto:</t>
        </r>
        <r>
          <rPr>
            <sz val="8"/>
            <color indexed="81"/>
            <rFont val="Tahoma"/>
            <family val="2"/>
          </rPr>
          <t xml:space="preserve">
"B" for a basic requirement
"L" for a linear requirement
"D" for a delighter requirement</t>
        </r>
      </text>
    </comment>
    <comment ref="C49" authorId="0">
      <text>
        <r>
          <rPr>
            <b/>
            <sz val="8"/>
            <color indexed="81"/>
            <rFont val="Tahoma"/>
            <family val="2"/>
          </rPr>
          <t>Kevin Otto:</t>
        </r>
        <r>
          <rPr>
            <sz val="8"/>
            <color indexed="81"/>
            <rFont val="Tahoma"/>
            <family val="2"/>
          </rPr>
          <t xml:space="preserve">
"T" for a nominal target
"↑" for higher the better
"↓" for lower the better</t>
        </r>
      </text>
    </comment>
    <comment ref="B50" authorId="0">
      <text>
        <r>
          <rPr>
            <b/>
            <sz val="8"/>
            <color indexed="81"/>
            <rFont val="Tahoma"/>
            <family val="2"/>
          </rPr>
          <t>Kevin Otto:</t>
        </r>
        <r>
          <rPr>
            <sz val="8"/>
            <color indexed="81"/>
            <rFont val="Tahoma"/>
            <family val="2"/>
          </rPr>
          <t xml:space="preserve">
What units: mph, gpm, W, hp, m, J, ...</t>
        </r>
      </text>
    </comment>
    <comment ref="B51" authorId="0">
      <text>
        <r>
          <rPr>
            <b/>
            <sz val="8"/>
            <color indexed="81"/>
            <rFont val="Tahoma"/>
            <family val="2"/>
          </rPr>
          <t>Kevin Otto:</t>
        </r>
        <r>
          <rPr>
            <sz val="8"/>
            <color indexed="81"/>
            <rFont val="Tahoma"/>
            <family val="2"/>
          </rPr>
          <t xml:space="preserve">
What will you design and test to?  What is the requirement?</t>
        </r>
      </text>
    </comment>
    <comment ref="B52" authorId="0">
      <text>
        <r>
          <rPr>
            <b/>
            <sz val="8"/>
            <color indexed="81"/>
            <rFont val="Tahoma"/>
            <family val="2"/>
          </rPr>
          <t>Kevin Otto:</t>
        </r>
        <r>
          <rPr>
            <sz val="8"/>
            <color indexed="81"/>
            <rFont val="Tahoma"/>
            <family val="2"/>
          </rPr>
          <t xml:space="preserve">
What will you design and test to?  What is the requirement upper limit, beyond which the customer is not satisfied?</t>
        </r>
      </text>
    </comment>
    <comment ref="B53" authorId="0">
      <text>
        <r>
          <rPr>
            <b/>
            <sz val="8"/>
            <color indexed="81"/>
            <rFont val="Tahoma"/>
            <family val="2"/>
          </rPr>
          <t>Kevin Otto:</t>
        </r>
        <r>
          <rPr>
            <sz val="8"/>
            <color indexed="81"/>
            <rFont val="Tahoma"/>
            <family val="2"/>
          </rPr>
          <t xml:space="preserve">
What will you design and test to?  What is the requirement lower limit, beyond which the customer is not satisfied?</t>
        </r>
      </text>
    </comment>
  </commentList>
</comments>
</file>

<file path=xl/comments2.xml><?xml version="1.0" encoding="utf-8"?>
<comments xmlns="http://schemas.openxmlformats.org/spreadsheetml/2006/main">
  <authors>
    <author>Jarold March</author>
  </authors>
  <commentList>
    <comment ref="F12" authorId="0">
      <text>
        <r>
          <rPr>
            <b/>
            <sz val="8"/>
            <color indexed="81"/>
            <rFont val="Tahoma"/>
            <family val="2"/>
          </rPr>
          <t>MSA recommends 3 trail, 10 part, 3 appraiser analysis when possible</t>
        </r>
        <r>
          <rPr>
            <sz val="8"/>
            <color indexed="81"/>
            <rFont val="Tahoma"/>
            <family val="2"/>
          </rPr>
          <t xml:space="preserve">
</t>
        </r>
      </text>
    </comment>
  </commentList>
</comments>
</file>

<file path=xl/comments3.xml><?xml version="1.0" encoding="utf-8"?>
<comments xmlns="http://schemas.openxmlformats.org/spreadsheetml/2006/main">
  <authors>
    <author>Jarold March</author>
  </authors>
  <commentList>
    <comment ref="F12" authorId="0">
      <text>
        <r>
          <rPr>
            <b/>
            <sz val="8"/>
            <color indexed="81"/>
            <rFont val="Tahoma"/>
            <family val="2"/>
          </rPr>
          <t>MSA recommends 3 trail, 10 part, 3 appraiser analysis when possible</t>
        </r>
        <r>
          <rPr>
            <sz val="8"/>
            <color indexed="81"/>
            <rFont val="Tahoma"/>
            <family val="2"/>
          </rPr>
          <t xml:space="preserve">
</t>
        </r>
      </text>
    </comment>
  </commentList>
</comments>
</file>

<file path=xl/comments4.xml><?xml version="1.0" encoding="utf-8"?>
<comments xmlns="http://schemas.openxmlformats.org/spreadsheetml/2006/main">
  <authors>
    <author>Jay Arthur</author>
  </authors>
  <commentList>
    <comment ref="A1" authorId="0">
      <text>
        <r>
          <rPr>
            <b/>
            <sz val="8"/>
            <color indexed="81"/>
            <rFont val="Tahoma"/>
            <family val="2"/>
          </rPr>
          <t>How confident do you want to be that your sample represents the population?</t>
        </r>
      </text>
    </comment>
    <comment ref="A2" authorId="0">
      <text>
        <r>
          <rPr>
            <b/>
            <sz val="8"/>
            <color indexed="81"/>
            <rFont val="Tahoma"/>
            <family val="2"/>
          </rPr>
          <t>Given the confidence Level, what is desired width of the confidence interval
 (e.g., +/-0.05)</t>
        </r>
      </text>
    </comment>
    <comment ref="A6" authorId="0">
      <text>
        <r>
          <rPr>
            <b/>
            <sz val="8"/>
            <color indexed="81"/>
            <rFont val="Tahoma"/>
            <family val="2"/>
          </rPr>
          <t>if you don't know the estimated percent defects, then assume the worst case: 50%</t>
        </r>
      </text>
    </comment>
    <comment ref="A11" authorId="0">
      <text>
        <r>
          <rPr>
            <b/>
            <sz val="8"/>
            <color indexed="81"/>
            <rFont val="Tahoma"/>
            <family val="2"/>
          </rPr>
          <t>If you don't know the standard deviation, use 1/6 = 0.167.</t>
        </r>
      </text>
    </comment>
  </commentList>
</comments>
</file>

<file path=xl/sharedStrings.xml><?xml version="1.0" encoding="utf-8"?>
<sst xmlns="http://schemas.openxmlformats.org/spreadsheetml/2006/main" count="1301" uniqueCount="648">
  <si>
    <t>Lean Tool</t>
  </si>
  <si>
    <t>What is it?</t>
  </si>
  <si>
    <t>How does it help?</t>
  </si>
  <si>
    <t>5S</t>
  </si>
  <si>
    <t>Sort (Eliminate not needed), Set in Order (Organize needed items), Shine (Clean the work area), Standardize (Write Standards) and Sustain (Regularly apply standards)</t>
  </si>
  <si>
    <t>Helps in eliminating waste resulting from a poorly organized work area. Often is considered the simplest Lean tool, and should be implemented first things in a Lean project</t>
  </si>
  <si>
    <t>Andon</t>
  </si>
  <si>
    <t>Visual feedback system for the Operations floor indicating status of production. The system alerts when assistance is needed, and allows employees to stop Ops process.</t>
  </si>
  <si>
    <t>A real time communication tool that helps in addressing operational problems, "as they occur"</t>
  </si>
  <si>
    <t>Continuous Flow</t>
  </si>
  <si>
    <t>Work in progress flows through the production line with minimal or no buffer or redundant steps in the process.</t>
  </si>
  <si>
    <t>Eliminates inventory, waiting time and transportation.</t>
  </si>
  <si>
    <t>Gemba (The real place)</t>
  </si>
  <si>
    <t>A philosophy that drives us to get out of our cabins and move on to the Ops floor, the place where the real action takes place.</t>
  </si>
  <si>
    <t>Helps in understanding real-word issues. Helps the company to drive a pro-active approach rather than a retro-active approach</t>
  </si>
  <si>
    <t>Heijunka (Level Scheduling)</t>
  </si>
  <si>
    <t>A type of production scheduling that manufactures in smaller batches by mixing the variants of the products within the same process</t>
  </si>
  <si>
    <t>a) Reduces lead times for the product
b) Reduces inventory (As batch sizes are smaller)</t>
  </si>
  <si>
    <t>Hoshin Kanri</t>
  </si>
  <si>
    <t>The goals of the company (Strategy), the plans of the middle management (Tactics) and real work performed on Ops floor (Action) should be aligned</t>
  </si>
  <si>
    <t>Eliminates waste arising out of poor communication and inconsistent direction, two wastes that are not spoken about under the Wastes of Lean</t>
  </si>
  <si>
    <t>Jidoka</t>
  </si>
  <si>
    <t>Automate partially, as it is less expensive, and to auto-stop production process when defects are detected</t>
  </si>
  <si>
    <t>Post Jidoka, workers can frequently monitor multiple workstations reducing labor costs. Quality issues can also be fixed immediately.</t>
  </si>
  <si>
    <t>Just in Time (JIT)</t>
  </si>
  <si>
    <t>Pull parts from production based on actual customer demand instead of pushing parts to customer based on projected customer demand</t>
  </si>
  <si>
    <t>a) Reduces inventory levels
b) Improves cash flow
c) Reduces space constraints</t>
  </si>
  <si>
    <t>Kaizen (Continuous Improvement)</t>
  </si>
  <si>
    <t>Employees work together proactively to achieve incremental improvements from the process</t>
  </si>
  <si>
    <t>Better talent utilization</t>
  </si>
  <si>
    <t>Kanban</t>
  </si>
  <si>
    <t>Method of streamlining and regulating the flow of goods within the company as well as outside. Happens with the help of signal cards that indicate when more goods are required</t>
  </si>
  <si>
    <t>a) Eliminates inventory and overproduction
b) Physical inventories are reduced to a great extent</t>
  </si>
  <si>
    <t>KPI</t>
  </si>
  <si>
    <t>Metrics designed to track and encourage progress of the company goals.</t>
  </si>
  <si>
    <t>a) Aligned with top level strategic goals
b) Effective at exposing and quantifying waste</t>
  </si>
  <si>
    <t>OEE (Overall Equipment Effectiveness)</t>
  </si>
  <si>
    <t>A metric popularized by TPM, and tracks three types of losses, availability, performance and quality of equipment to measure productivity loss.</t>
  </si>
  <si>
    <t>Helps in establishing a benchmark for equipment performance . 100% OEE means equipment is performing perfectly.</t>
  </si>
  <si>
    <t>Poka Yoke</t>
  </si>
  <si>
    <t>Design a system that detects errors and prevents errors from happening, resulting in system moving to a 0 non-conformity process.</t>
  </si>
  <si>
    <t>Reduces difficulty of finding defects. Significantly, proactively works to eliminating defects.</t>
  </si>
  <si>
    <t>Root Cause Analysis</t>
  </si>
  <si>
    <t>A methodology that helps in finding the underlying problem to the symptoms of the problem. The commonly used technique is 5WHYs</t>
  </si>
  <si>
    <t>Helps in eliminating the problem by applying a corrective action to the root cause.</t>
  </si>
  <si>
    <t>Single Minute Exchange of Die (SMED)</t>
  </si>
  <si>
    <t>Reduces setup time to less than 10 minutes by
a) Convert setup steps to be external, i.e. setup steps to happen while the process is running
b) Eliminate non-value added Ops
c) Create standardized work instructions</t>
  </si>
  <si>
    <t>a) Enables the output processing in smaller lots
b) Reduces inventory
c) Improves customer response</t>
  </si>
  <si>
    <t>Six Big Losses</t>
  </si>
  <si>
    <t>Six Categories of productivity loss experienced in the manufacturing sector
a) Breakdowns
b) Setups
c) Small stops
d) Reduced Speeds
e) Startup and Production Rejects</t>
  </si>
  <si>
    <t>Provides a roadmap for attacking the most common causes of waste experienced in manufacturing sector.</t>
  </si>
  <si>
    <t>Standardized Work</t>
  </si>
  <si>
    <t>Documenting best practices and procedures for processing a product or service</t>
  </si>
  <si>
    <t>Eliminates waste by consistently applying best practices and does form a baseline for future improvement activities.</t>
  </si>
  <si>
    <t>TAKT Time</t>
  </si>
  <si>
    <t>Pace of production that aligns production with customer demand. Calculated as Planned Production Time/Customer Demand</t>
  </si>
  <si>
    <t>Offers a simple mechanism to pace production. Internally as well, provides insight to the efficiency on the floor (Actual products/Target products)</t>
  </si>
  <si>
    <t>TPM</t>
  </si>
  <si>
    <t>Proactive and preventive maintenance of equipment to ensure production line experiences and reports optimum production.</t>
  </si>
  <si>
    <t>Increases up time, reduces Cycle time, eliminates defects</t>
  </si>
  <si>
    <t>Value Stream Mapping</t>
  </si>
  <si>
    <t>A tool that is used to visually map the flow of production. Shows the current and future state of process.</t>
  </si>
  <si>
    <t>Helps in identifying value added and non-value added activities.</t>
  </si>
  <si>
    <t>Visual Factory</t>
  </si>
  <si>
    <t>Visual indicators including displays used in factories and companies to improve communication</t>
  </si>
  <si>
    <t>Helps in accessability of information</t>
  </si>
  <si>
    <t>Daily available capacity</t>
  </si>
  <si>
    <t>Number of machines</t>
  </si>
  <si>
    <t>Working hours for machines</t>
  </si>
  <si>
    <t>Unit</t>
  </si>
  <si>
    <t>Quantity</t>
  </si>
  <si>
    <t>Number</t>
  </si>
  <si>
    <t>Hours</t>
  </si>
  <si>
    <t>Mins</t>
  </si>
  <si>
    <t>((Number of machines * Working Hours for machines))</t>
  </si>
  <si>
    <t>Up time of machines</t>
  </si>
  <si>
    <t>Percentage</t>
  </si>
  <si>
    <t>((factors in leakage, system downtime etc))</t>
  </si>
  <si>
    <t>Total up and running time of machines</t>
  </si>
  <si>
    <t>((Uptime % * Daily avail capacity)</t>
  </si>
  <si>
    <t>Available Cycle time and Changeover time</t>
  </si>
  <si>
    <t>Required Cycle time for processing of products</t>
  </si>
  <si>
    <t>Daily changeover time available</t>
  </si>
  <si>
    <t>Num of machines/products applicable for</t>
  </si>
  <si>
    <t>((For 6 machines/6 products))</t>
  </si>
  <si>
    <t>EPEI</t>
  </si>
  <si>
    <t>Days</t>
  </si>
  <si>
    <t>((The EPEI is 9.33 days))</t>
  </si>
  <si>
    <t>% Downtime</t>
  </si>
  <si>
    <t>% Changeover time</t>
  </si>
  <si>
    <t>% Cycle time available for production</t>
  </si>
  <si>
    <t>Changeover-run ratio</t>
  </si>
  <si>
    <t>5S Evaluation - Production</t>
  </si>
  <si>
    <t>A High Score is Desirable</t>
  </si>
  <si>
    <t>Process or Project Name:</t>
  </si>
  <si>
    <r>
      <t>Sort</t>
    </r>
    <r>
      <rPr>
        <sz val="11"/>
        <rFont val="Arial"/>
        <family val="2"/>
      </rPr>
      <t xml:space="preserve"> - </t>
    </r>
    <r>
      <rPr>
        <b/>
        <i/>
        <sz val="9"/>
        <color indexed="10"/>
        <rFont val="Arial"/>
        <family val="2"/>
      </rPr>
      <t>when in doubt, throw it out, delete or archive</t>
    </r>
  </si>
  <si>
    <t>Best Practice</t>
  </si>
  <si>
    <t>Best in the organization</t>
  </si>
  <si>
    <t>Minimum acceptable level</t>
  </si>
  <si>
    <t>Many opportunities for improv'mt</t>
  </si>
  <si>
    <t>No Activity or, slight effort</t>
  </si>
  <si>
    <t>Total</t>
  </si>
  <si>
    <t>1. Only the current levels of inventory in the area is needed for the work at hand.</t>
  </si>
  <si>
    <t>2. Only the necessary items to perform the work at hand are located in the area.</t>
  </si>
  <si>
    <t>3. All tools, fixtures and jigs in the area are used on a regular basis.</t>
  </si>
  <si>
    <t>4. All announcements are arranged in a straight and neat manner.</t>
  </si>
  <si>
    <t>5. Your general impression should tell you this is the best you have seen for a manufacturing environment.</t>
  </si>
  <si>
    <t>Sort</t>
  </si>
  <si>
    <r>
      <t>Straighten</t>
    </r>
    <r>
      <rPr>
        <sz val="11"/>
        <rFont val="Arial"/>
        <family val="2"/>
      </rPr>
      <t xml:space="preserve"> - </t>
    </r>
    <r>
      <rPr>
        <b/>
        <i/>
        <sz val="9"/>
        <color indexed="10"/>
        <rFont val="Arial"/>
        <family val="2"/>
      </rPr>
      <t>decide and organize where to keep necessary items</t>
    </r>
  </si>
  <si>
    <t>1. Machines, benches, etc. are arranged in a logical &amp; neat fashion to promote a smooth product flow through the work area.</t>
  </si>
  <si>
    <t xml:space="preserve">2. Lines on the floor clearly mark aisles, walkways, work areas, storage locations and danger areas. </t>
  </si>
  <si>
    <t>3. Only current labeled documents and binders necessary to do the work are stored at workstations.</t>
  </si>
  <si>
    <t>4. Tools, gages and fixtures are arranged neatly and stored, kept clean and free of any risk from damage.</t>
  </si>
  <si>
    <t xml:space="preserve">5. Equipment is properly maintained and labeled.  Critical points for daily maintenance checks are clearly marked. </t>
  </si>
  <si>
    <t>Straighten</t>
  </si>
  <si>
    <r>
      <t>Shine</t>
    </r>
    <r>
      <rPr>
        <sz val="11"/>
        <rFont val="Arial"/>
        <family val="2"/>
      </rPr>
      <t xml:space="preserve"> - </t>
    </r>
    <r>
      <rPr>
        <b/>
        <i/>
        <sz val="9"/>
        <color indexed="10"/>
        <rFont val="Arial"/>
        <family val="2"/>
      </rPr>
      <t>perform a thorough cleaning</t>
    </r>
  </si>
  <si>
    <t>1. All floors are clean and free of debris, oil, and dirt.  Cleaning of floors is done routinely and at appropriate predetermined intervals.</t>
  </si>
  <si>
    <t>2. Routine cleaning of machines is apparent, there is no oil, chips, scrap laying on work surfaces. Glass view windows, guards, deflectors are clean &amp; in place.</t>
  </si>
  <si>
    <t>3. All equipment in the area is cleaned on a regular basis.</t>
  </si>
  <si>
    <t>4. When unexpected delays occur, operators habitually &amp; automatically sweep floors &amp; wipe equipment.</t>
  </si>
  <si>
    <t>5. Where applicable, FOD prevention procedures are enforced.  All loose items removed before entering FOD prevention area.  Shadow boxes kept clean.</t>
  </si>
  <si>
    <t>Shine</t>
  </si>
  <si>
    <r>
      <t>Standardize</t>
    </r>
    <r>
      <rPr>
        <sz val="11"/>
        <rFont val="Arial"/>
        <family val="2"/>
      </rPr>
      <t xml:space="preserve"> - </t>
    </r>
    <r>
      <rPr>
        <b/>
        <i/>
        <sz val="9"/>
        <color indexed="10"/>
        <rFont val="Arial"/>
        <family val="2"/>
      </rPr>
      <t>incorporate cleaning procedures into the daily work</t>
    </r>
  </si>
  <si>
    <t>1. Display boards are present in each production work area and accessible to all personnel in the area.</t>
  </si>
  <si>
    <t>2. 5S audits are performed in each work area at least monthly, results are shared with all workers and goals for new levels set with action items.</t>
  </si>
  <si>
    <t>3. PPE notices are posted in every area and all employees are wearing the required PPE's.</t>
  </si>
  <si>
    <t>4. It is obvious that workers who perform similar duties, use standard methods to achieve consistent results.</t>
  </si>
  <si>
    <t>5. Methods are reviewed on a regular basis, and as new methods are developed, they are quickly documented and adopted by others.</t>
  </si>
  <si>
    <t>Standardize</t>
  </si>
  <si>
    <r>
      <t>Sustain</t>
    </r>
    <r>
      <rPr>
        <sz val="11"/>
        <rFont val="Arial"/>
        <family val="2"/>
      </rPr>
      <t xml:space="preserve"> - </t>
    </r>
    <r>
      <rPr>
        <b/>
        <i/>
        <sz val="9"/>
        <color indexed="10"/>
        <rFont val="Arial"/>
        <family val="2"/>
      </rPr>
      <t>management and leadership to motivate and sustain</t>
    </r>
  </si>
  <si>
    <t>1. Employees are adequately deployed to keep equipment operating properly.  A Preventive Maintenance program is in place and functions at a high level.</t>
  </si>
  <si>
    <t>2. Each area of the operation, inside and out, falls under the responsibility of a manager with 5S auditing and assignment authority.</t>
  </si>
  <si>
    <t xml:space="preserve">3. All documents and binders are clearly labeled as to their contents.  Responsibility for control &amp; revisions is clear.  Nothing is unlabeled.  </t>
  </si>
  <si>
    <t>4. Responsible manager/staff person visits each work area on a regular basis and provides feedback on 5S efforts and results.</t>
  </si>
  <si>
    <t>5. Disciplined controls to assure each of above items is maintained at highest level.  There is a sense of responsibility by all employees to maintain systems.</t>
  </si>
  <si>
    <t>Sustain</t>
  </si>
  <si>
    <t>CUSTOMER</t>
  </si>
  <si>
    <t>Frequency</t>
  </si>
  <si>
    <t>TAKT Time (s)</t>
  </si>
  <si>
    <t>PLANNING
CONTROL</t>
  </si>
  <si>
    <t>Demand</t>
  </si>
  <si>
    <t>C/T (s)</t>
  </si>
  <si>
    <t>C/O (s)</t>
  </si>
  <si>
    <t>Uptime (%)</t>
  </si>
  <si>
    <t>Yield (%)</t>
  </si>
  <si>
    <t>STORAGE</t>
  </si>
  <si>
    <t>PROCESS</t>
  </si>
  <si>
    <t>Time</t>
  </si>
  <si>
    <t>Pitch Duration</t>
  </si>
  <si>
    <t>OUTSIDE SOURCE</t>
  </si>
  <si>
    <t>Shifts</t>
  </si>
  <si>
    <t>Lead Time (s)</t>
  </si>
  <si>
    <t>MAX           PCS</t>
  </si>
  <si>
    <t>LEAD</t>
  </si>
  <si>
    <t>TIME (s)</t>
  </si>
  <si>
    <t>VALUE</t>
  </si>
  <si>
    <t>Generic Production Value Stream Map - Example Excel Generated VSM</t>
  </si>
  <si>
    <t>PLANNING</t>
  </si>
  <si>
    <t>SUPPLIER</t>
  </si>
  <si>
    <t>PURCHASING</t>
  </si>
  <si>
    <t>Daily</t>
  </si>
  <si>
    <t>MANUFACTURING
CELL MANAGER</t>
  </si>
  <si>
    <t>STORES</t>
  </si>
  <si>
    <t>KITS</t>
  </si>
  <si>
    <t>GOODS AWAITING TEST</t>
  </si>
  <si>
    <t>AWAITING FINAL INSPECTION</t>
  </si>
  <si>
    <t>FINISHED GOODS</t>
  </si>
  <si>
    <t>INSPECTION</t>
  </si>
  <si>
    <t>KITTING</t>
  </si>
  <si>
    <t>ASSEMBLY</t>
  </si>
  <si>
    <t>TEST</t>
  </si>
  <si>
    <t>SHIPPING</t>
  </si>
  <si>
    <t>GOODS-IN</t>
  </si>
  <si>
    <t>Pugh Concept Evaluation Matrix</t>
  </si>
  <si>
    <t>Evaluation Criteria</t>
  </si>
  <si>
    <t>Exisiting 
Process</t>
  </si>
  <si>
    <t>Total (+)</t>
  </si>
  <si>
    <t>Total (s)</t>
  </si>
  <si>
    <t>Total (-)</t>
  </si>
  <si>
    <t>Year</t>
  </si>
  <si>
    <t>Cost</t>
  </si>
  <si>
    <t>Benefits</t>
  </si>
  <si>
    <t>Net Benefits</t>
  </si>
  <si>
    <t>Description</t>
  </si>
  <si>
    <t>Annual discount rate which management wants</t>
  </si>
  <si>
    <t>Initial Cost of investment</t>
  </si>
  <si>
    <t>Totals</t>
  </si>
  <si>
    <t>NPV</t>
  </si>
  <si>
    <t>Returns</t>
  </si>
  <si>
    <t>IRR</t>
  </si>
  <si>
    <t>VOC</t>
  </si>
  <si>
    <t>Service issues</t>
  </si>
  <si>
    <t>Specific need</t>
  </si>
  <si>
    <t>Project Y</t>
  </si>
  <si>
    <t>I am always on hold</t>
  </si>
  <si>
    <t>Want to talk immediately</t>
  </si>
  <si>
    <t>Customer should connect</t>
  </si>
  <si>
    <t>Availability</t>
  </si>
  <si>
    <t>Add additional items</t>
  </si>
  <si>
    <t>I get invoices irregular</t>
  </si>
  <si>
    <t>Consistent monthly bill</t>
  </si>
  <si>
    <t>Should receive bill on same day</t>
  </si>
  <si>
    <t>Invoicing Cycle time</t>
  </si>
  <si>
    <t>Wants bill consistently</t>
  </si>
  <si>
    <t>Delivery cycle time</t>
  </si>
  <si>
    <t>Delivery timeliness</t>
  </si>
  <si>
    <t>Customer receives application</t>
  </si>
  <si>
    <t>Customer wants faster deliveries</t>
  </si>
  <si>
    <t>Looks good</t>
  </si>
  <si>
    <t>Holds License plate</t>
  </si>
  <si>
    <t>Resist Dents</t>
  </si>
  <si>
    <t>Protects lights</t>
  </si>
  <si>
    <t>Doesn’t rust</t>
  </si>
  <si>
    <t>Lasts a long time</t>
  </si>
  <si>
    <t>Inexpensive</t>
  </si>
  <si>
    <t>Protects tender</t>
  </si>
  <si>
    <t>Sum</t>
  </si>
  <si>
    <t>Sum %</t>
  </si>
  <si>
    <t>System QFD</t>
  </si>
  <si>
    <t>Copyright © 2005 Kevin Otto</t>
  </si>
  <si>
    <t>Please freely distribute and modify, but properly reference and maintain this contact information in the sheet.</t>
  </si>
  <si>
    <t>Project:</t>
  </si>
  <si>
    <t>Project</t>
  </si>
  <si>
    <t>www.robuststrategy.com</t>
  </si>
  <si>
    <t>Date:</t>
  </si>
  <si>
    <t>date</t>
  </si>
  <si>
    <t>kevin_n_otto@yahoo.com</t>
  </si>
  <si>
    <t xml:space="preserve">        Input areas are in yellow</t>
  </si>
  <si>
    <t>http://www.kevinotto.com/RSS/templates/QFD Template.xls</t>
  </si>
  <si>
    <t>Modified from a template from Design4X Inc.</t>
  </si>
  <si>
    <t>Survey Legend</t>
  </si>
  <si>
    <t>A</t>
  </si>
  <si>
    <t>Current product</t>
  </si>
  <si>
    <t>B</t>
  </si>
  <si>
    <t>Competitor B</t>
  </si>
  <si>
    <t>C</t>
  </si>
  <si>
    <t>Competitor C</t>
  </si>
  <si>
    <t>Technical Requirements</t>
  </si>
  <si>
    <t>Customer Opinion Survey</t>
  </si>
  <si>
    <t>Customer Needs</t>
  </si>
  <si>
    <t>Customer Weights</t>
  </si>
  <si>
    <t>Kano Type</t>
  </si>
  <si>
    <t>1     Poor</t>
  </si>
  <si>
    <t>3     Acceptable</t>
  </si>
  <si>
    <t>5     Excellent</t>
  </si>
  <si>
    <t>Raw score</t>
  </si>
  <si>
    <t>Scaled</t>
  </si>
  <si>
    <t>Relative Weight</t>
  </si>
  <si>
    <t>Rank</t>
  </si>
  <si>
    <t>Requirement Benchmarking</t>
  </si>
  <si>
    <t>Best in Class</t>
  </si>
  <si>
    <t>AVE</t>
  </si>
  <si>
    <t>Worst in Class</t>
  </si>
  <si>
    <t>Kano</t>
  </si>
  <si>
    <t>Direction</t>
  </si>
  <si>
    <t>Technical Requirement Units</t>
  </si>
  <si>
    <t>Good Texture</t>
  </si>
  <si>
    <t>Generous Portions</t>
  </si>
  <si>
    <t>Good taste</t>
  </si>
  <si>
    <t>Low price</t>
  </si>
  <si>
    <t>P</t>
  </si>
  <si>
    <t>Color</t>
  </si>
  <si>
    <t>Yield Strength</t>
  </si>
  <si>
    <t>Hardness of cookie</t>
  </si>
  <si>
    <t>Weight</t>
  </si>
  <si>
    <t>Size</t>
  </si>
  <si>
    <t>Thickness</t>
  </si>
  <si>
    <t>Cost per cookie</t>
  </si>
  <si>
    <t>Appearance</t>
  </si>
  <si>
    <t xml:space="preserve">C </t>
  </si>
  <si>
    <t>L</t>
  </si>
  <si>
    <t>D</t>
  </si>
  <si>
    <t>Yellow</t>
  </si>
  <si>
    <t>Marsh Yellow</t>
  </si>
  <si>
    <t>Orange</t>
  </si>
  <si>
    <t>1.0 g/cm</t>
  </si>
  <si>
    <t>0.8 g/cm</t>
  </si>
  <si>
    <t>0.6 g/cm</t>
  </si>
  <si>
    <t>Technical Requirement Targets</t>
  </si>
  <si>
    <t>Technical Requirement USL</t>
  </si>
  <si>
    <t>Technical Requirement LSL</t>
  </si>
  <si>
    <t>g/cm</t>
  </si>
  <si>
    <t>RACI Matrix Template</t>
  </si>
  <si>
    <t xml:space="preserve">Project Leadership </t>
  </si>
  <si>
    <t>Project Team Members</t>
  </si>
  <si>
    <t>Project Sub-Teams</t>
  </si>
  <si>
    <t>External Contributors</t>
  </si>
  <si>
    <t>Role #1</t>
  </si>
  <si>
    <t>Role #2</t>
  </si>
  <si>
    <t>Role #3</t>
  </si>
  <si>
    <t>Role #4</t>
  </si>
  <si>
    <t>Role #5</t>
  </si>
  <si>
    <t>Control Phase Activities</t>
  </si>
  <si>
    <t>Instructional Notes for the RACI Matrix:</t>
  </si>
  <si>
    <r>
      <t xml:space="preserve">The RACI Matrix is a powerful tool to assist in the identification of roles and assigning of cross-functional responsibilities to a project deliverable or activity.  
RACI represents:  </t>
    </r>
    <r>
      <rPr>
        <b/>
        <i/>
        <u/>
        <sz val="10"/>
        <rFont val="Arial"/>
        <family val="2"/>
      </rPr>
      <t>R</t>
    </r>
    <r>
      <rPr>
        <sz val="10"/>
        <rFont val="Arial"/>
        <family val="2"/>
      </rPr>
      <t xml:space="preserve"> - Responsibility, </t>
    </r>
    <r>
      <rPr>
        <b/>
        <i/>
        <u/>
        <sz val="10"/>
        <rFont val="Arial"/>
        <family val="2"/>
      </rPr>
      <t>A</t>
    </r>
    <r>
      <rPr>
        <sz val="10"/>
        <rFont val="Arial"/>
        <family val="2"/>
      </rPr>
      <t xml:space="preserve"> - Accountable, </t>
    </r>
    <r>
      <rPr>
        <b/>
        <i/>
        <u/>
        <sz val="10"/>
        <rFont val="Arial"/>
        <family val="2"/>
      </rPr>
      <t xml:space="preserve">C </t>
    </r>
    <r>
      <rPr>
        <sz val="10"/>
        <rFont val="Arial"/>
        <family val="2"/>
      </rPr>
      <t xml:space="preserve">- Consulted, and </t>
    </r>
    <r>
      <rPr>
        <b/>
        <i/>
        <u/>
        <sz val="10"/>
        <rFont val="Arial"/>
        <family val="2"/>
      </rPr>
      <t>I</t>
    </r>
    <r>
      <rPr>
        <sz val="10"/>
        <rFont val="Arial"/>
        <family val="2"/>
      </rPr>
      <t xml:space="preserve"> - Informed
</t>
    </r>
    <r>
      <rPr>
        <b/>
        <i/>
        <u/>
        <sz val="10"/>
        <rFont val="Arial"/>
        <family val="2"/>
      </rPr>
      <t>RACI Definitions:</t>
    </r>
    <r>
      <rPr>
        <sz val="10"/>
        <rFont val="Arial"/>
        <family val="2"/>
      </rPr>
      <t xml:space="preserve">
</t>
    </r>
    <r>
      <rPr>
        <b/>
        <i/>
        <u/>
        <sz val="10"/>
        <rFont val="Arial"/>
        <family val="2"/>
      </rPr>
      <t>R</t>
    </r>
    <r>
      <rPr>
        <sz val="10"/>
        <rFont val="Arial"/>
        <family val="2"/>
      </rPr>
      <t xml:space="preserve">esponsibility = person or role responsible for ensuring that the item is completed 
</t>
    </r>
    <r>
      <rPr>
        <b/>
        <i/>
        <u/>
        <sz val="10"/>
        <rFont val="Arial"/>
        <family val="2"/>
      </rPr>
      <t>A</t>
    </r>
    <r>
      <rPr>
        <sz val="10"/>
        <rFont val="Arial"/>
        <family val="2"/>
      </rPr>
      <t xml:space="preserve">ccountable = person or role responsible for actually doing or completing the item
</t>
    </r>
    <r>
      <rPr>
        <b/>
        <i/>
        <u/>
        <sz val="10"/>
        <rFont val="Arial"/>
        <family val="2"/>
      </rPr>
      <t>C</t>
    </r>
    <r>
      <rPr>
        <sz val="10"/>
        <rFont val="Arial"/>
        <family val="2"/>
      </rPr>
      <t xml:space="preserve">onsulted = person or role whose subject matter expertise is required in order to complete the item
</t>
    </r>
    <r>
      <rPr>
        <b/>
        <i/>
        <u/>
        <sz val="10"/>
        <rFont val="Arial"/>
        <family val="2"/>
      </rPr>
      <t>I</t>
    </r>
    <r>
      <rPr>
        <sz val="10"/>
        <rFont val="Arial"/>
        <family val="2"/>
      </rPr>
      <t>nformed = person or role that needs to be kept informed of the status of item completion</t>
    </r>
  </si>
  <si>
    <t xml:space="preserve">Simply place an R, A, C, I or any appropriate combination in each of the applicable roles for each activity  Each Activity should have at least one individual Accountable while there may be shared responsibilities depending on the activity.  </t>
  </si>
  <si>
    <t>Define Phase Activities</t>
  </si>
  <si>
    <t>Measure Phase Activities</t>
  </si>
  <si>
    <t>Analyze Phase Activities</t>
  </si>
  <si>
    <t>Improve Phase Activities</t>
  </si>
  <si>
    <t>Planned</t>
  </si>
  <si>
    <t>Actual</t>
  </si>
  <si>
    <t>%</t>
  </si>
  <si>
    <t>Show Gantt for</t>
  </si>
  <si>
    <t>Show Status?</t>
  </si>
  <si>
    <t>█</t>
  </si>
  <si>
    <t>What is current week?</t>
  </si>
  <si>
    <t>#</t>
  </si>
  <si>
    <t>List of Activties</t>
  </si>
  <si>
    <t>Start</t>
  </si>
  <si>
    <t>Dur</t>
  </si>
  <si>
    <t>Done</t>
  </si>
  <si>
    <t>Activity 1</t>
  </si>
  <si>
    <t>Activity 2</t>
  </si>
  <si>
    <t>Activity 3</t>
  </si>
  <si>
    <t>Activity 4</t>
  </si>
  <si>
    <t>Activity 5</t>
  </si>
  <si>
    <t>Activity 6</t>
  </si>
  <si>
    <t>Activity 7</t>
  </si>
  <si>
    <t>Activity 8</t>
  </si>
  <si>
    <t>Activity 9</t>
  </si>
  <si>
    <t>Activity 10</t>
  </si>
  <si>
    <t>Activity 11</t>
  </si>
  <si>
    <t>Activity 12</t>
  </si>
  <si>
    <t>Activity 13</t>
  </si>
  <si>
    <t>Activity 14</t>
  </si>
  <si>
    <t>Activity 15</t>
  </si>
  <si>
    <t>Activity 16</t>
  </si>
  <si>
    <t>Activity 17</t>
  </si>
  <si>
    <t>Activity 18</t>
  </si>
  <si>
    <t>Activity 19</t>
  </si>
  <si>
    <t>Activity 20</t>
  </si>
  <si>
    <t>Activity 21</t>
  </si>
  <si>
    <t>Activity 22</t>
  </si>
  <si>
    <t>Activity 23</t>
  </si>
  <si>
    <t>Activity 24</t>
  </si>
  <si>
    <t>Activity 25</t>
  </si>
  <si>
    <t>Activity 26</t>
  </si>
  <si>
    <t>Activity 27</t>
  </si>
  <si>
    <t>Activity 28</t>
  </si>
  <si>
    <t>Activity 29</t>
  </si>
  <si>
    <t>Activity 30</t>
  </si>
  <si>
    <t>Activity 31</t>
  </si>
  <si>
    <t>Activity 32</t>
  </si>
  <si>
    <t>Activity 33</t>
  </si>
  <si>
    <t>Activity 34</t>
  </si>
  <si>
    <t>Activity 35</t>
  </si>
  <si>
    <t>Activity 36</t>
  </si>
  <si>
    <t>Activity 37</t>
  </si>
  <si>
    <t>Activity 38</t>
  </si>
  <si>
    <t>Activity 39</t>
  </si>
  <si>
    <t>Activity 40</t>
  </si>
  <si>
    <t>© 2005 Kevin Otto</t>
  </si>
  <si>
    <t>www.kevinotto.com</t>
  </si>
  <si>
    <t>http://www.kevinotto.com/RSS/templates/C&amp;E Matrix.xls</t>
  </si>
  <si>
    <t>The Cause and Effect matrix is used to understand the relationship between KPIVs and KPOVs.  It can help initiate experimental investigations.</t>
  </si>
  <si>
    <t>The KPIVs are inputs to vary and record, the KPOV is a response to measure.  These experiments, natural or DOE, can be analyzed.</t>
  </si>
  <si>
    <t xml:space="preserve">The C&amp;E matrix also provides the initial input to the process FMEA.  Whenever a KPOV drifts out of specification, that is an "Effect". </t>
  </si>
  <si>
    <t xml:space="preserve">When that happens, the CE matrix should have listed whatever the "Cause" was, as a KPIV going out of specification.  </t>
  </si>
  <si>
    <t>Cause and Effect Matrix</t>
  </si>
  <si>
    <t>Key Process Output Variables</t>
  </si>
  <si>
    <t>Customer Importance</t>
  </si>
  <si>
    <t>Customer Rank</t>
  </si>
  <si>
    <t/>
  </si>
  <si>
    <t xml:space="preserve"> </t>
  </si>
  <si>
    <t>Process Step</t>
  </si>
  <si>
    <t>KPIV</t>
  </si>
  <si>
    <t>Rating</t>
  </si>
  <si>
    <t>Process Steps &amp; Key Process Input Variables</t>
  </si>
  <si>
    <t>Step 1</t>
  </si>
  <si>
    <t>Step 2</t>
  </si>
  <si>
    <t>Reverse Total</t>
  </si>
  <si>
    <t>Reverse Score</t>
  </si>
  <si>
    <t>Reverse Rank</t>
  </si>
  <si>
    <t>Target</t>
  </si>
  <si>
    <t>LSL</t>
  </si>
  <si>
    <t>USL</t>
  </si>
  <si>
    <t>Delivery Hours</t>
  </si>
  <si>
    <t>Packaging Defects</t>
  </si>
  <si>
    <t>Delivery Cost</t>
  </si>
  <si>
    <t>Delivery allocation time</t>
  </si>
  <si>
    <t>Delivery units</t>
  </si>
  <si>
    <t># Resources</t>
  </si>
  <si>
    <t>Experience</t>
  </si>
  <si>
    <t>$500</t>
  </si>
  <si>
    <t>$250</t>
  </si>
  <si>
    <t>$1000</t>
  </si>
  <si>
    <t>Test Samples</t>
  </si>
  <si>
    <t>Master Appraiser Rating</t>
  </si>
  <si>
    <t>Op1_Trial 1</t>
  </si>
  <si>
    <t>Op1_ Trial 2</t>
  </si>
  <si>
    <t>Within Op1</t>
  </si>
  <si>
    <t>Op1 with standard</t>
  </si>
  <si>
    <t>Op2_ Trial1</t>
  </si>
  <si>
    <t>Op2_ Trial 2</t>
  </si>
  <si>
    <t>Within Op2</t>
  </si>
  <si>
    <t>Op2 with standard</t>
  </si>
  <si>
    <t>Between Ops Match</t>
  </si>
  <si>
    <t>All Ops vs Standard</t>
  </si>
  <si>
    <t>Okay</t>
  </si>
  <si>
    <t>Defective</t>
  </si>
  <si>
    <t># Matched</t>
  </si>
  <si>
    <t># Inspected</t>
  </si>
  <si>
    <t>% Agree</t>
  </si>
  <si>
    <t>Enter process sigma level, compute PPM</t>
  </si>
  <si>
    <t>Process Sigma Level -&gt;</t>
  </si>
  <si>
    <t>PPM</t>
  </si>
  <si>
    <t>Percent</t>
  </si>
  <si>
    <t>Enter percent, compute PPM and process sigma level</t>
  </si>
  <si>
    <r>
      <t>If the percent is less than 1, you must use the percent sign after the number (e.g., 0.01</t>
    </r>
    <r>
      <rPr>
        <sz val="10"/>
        <color indexed="10"/>
        <rFont val="Arial"/>
        <family val="2"/>
      </rPr>
      <t>%</t>
    </r>
    <r>
      <rPr>
        <sz val="10"/>
        <rFont val="Arial"/>
        <family val="2"/>
      </rPr>
      <t>)</t>
    </r>
  </si>
  <si>
    <t>Percent -&gt;</t>
  </si>
  <si>
    <t>Process Sigma Level</t>
  </si>
  <si>
    <t>Enter DPMO, compute process sigma level</t>
  </si>
  <si>
    <t>DPMO -&gt;</t>
  </si>
  <si>
    <t>Men</t>
  </si>
  <si>
    <t>Women</t>
  </si>
  <si>
    <t>Fishers</t>
  </si>
  <si>
    <t>Men Expected</t>
  </si>
  <si>
    <t>Women Expected</t>
  </si>
  <si>
    <t>Dieting</t>
  </si>
  <si>
    <t xml:space="preserve">p 2-Tail </t>
  </si>
  <si>
    <t>Non-Dieting</t>
  </si>
  <si>
    <t>Chi-Sq</t>
  </si>
  <si>
    <t xml:space="preserve">p </t>
  </si>
  <si>
    <t>Average</t>
  </si>
  <si>
    <t>% Polyster</t>
  </si>
  <si>
    <t>Observed Tensile Strength</t>
  </si>
  <si>
    <r>
      <t>Totals (y</t>
    </r>
    <r>
      <rPr>
        <vertAlign val="subscript"/>
        <sz val="11"/>
        <color theme="1"/>
        <rFont val="Calibri"/>
        <family val="2"/>
        <scheme val="minor"/>
      </rPr>
      <t>i</t>
    </r>
    <r>
      <rPr>
        <sz val="11"/>
        <color theme="1"/>
        <rFont val="Calibri"/>
        <family val="2"/>
        <scheme val="minor"/>
      </rPr>
      <t>)</t>
    </r>
  </si>
  <si>
    <r>
      <t>Average (y</t>
    </r>
    <r>
      <rPr>
        <vertAlign val="subscript"/>
        <sz val="11"/>
        <color theme="1"/>
        <rFont val="Calibri"/>
        <family val="2"/>
        <scheme val="minor"/>
      </rPr>
      <t>i</t>
    </r>
    <r>
      <rPr>
        <sz val="11"/>
        <color theme="1"/>
        <rFont val="Calibri"/>
        <family val="2"/>
        <scheme val="minor"/>
      </rPr>
      <t>bar)</t>
    </r>
  </si>
  <si>
    <t>The Squares Table</t>
  </si>
  <si>
    <t>Sum of Sum of Squares</t>
  </si>
  <si>
    <t>Average of Squared totals</t>
  </si>
  <si>
    <t>Sum of Squares</t>
  </si>
  <si>
    <t>Total Sum of Squares</t>
  </si>
  <si>
    <t>Sum of Total Squares</t>
  </si>
  <si>
    <t>Division factor</t>
  </si>
  <si>
    <t>Sum of Squares for treatments</t>
  </si>
  <si>
    <t>Sum of Squares for Error</t>
  </si>
  <si>
    <t>Source of Variation</t>
  </si>
  <si>
    <t>Degrees of Freedom</t>
  </si>
  <si>
    <t>Mean Squares</t>
  </si>
  <si>
    <t>Fo</t>
  </si>
  <si>
    <t>Polyster Weight %</t>
  </si>
  <si>
    <t>Error</t>
  </si>
  <si>
    <t>Fcrit</t>
  </si>
  <si>
    <t>Status</t>
  </si>
  <si>
    <t>Name of the tool</t>
  </si>
  <si>
    <t>Pugh Matrix Concept Selection</t>
  </si>
  <si>
    <t>DFSS</t>
  </si>
  <si>
    <t>Net Present Value</t>
  </si>
  <si>
    <t>Approach</t>
  </si>
  <si>
    <t>Phase</t>
  </si>
  <si>
    <t>DMAIC</t>
  </si>
  <si>
    <t>Improve</t>
  </si>
  <si>
    <t>VOC - Y Sheet</t>
  </si>
  <si>
    <t>Define</t>
  </si>
  <si>
    <t>Prioritizing Cust Req</t>
  </si>
  <si>
    <t>QFD</t>
  </si>
  <si>
    <t>RACI Matrix</t>
  </si>
  <si>
    <t>Control</t>
  </si>
  <si>
    <t>Gantt Chart</t>
  </si>
  <si>
    <t>CE Matrix</t>
  </si>
  <si>
    <t>Analyze</t>
  </si>
  <si>
    <t>Variables RR</t>
  </si>
  <si>
    <t>Measure</t>
  </si>
  <si>
    <t>DPMO-Sig Conversion</t>
  </si>
  <si>
    <t>Confidence Level (Power)</t>
  </si>
  <si>
    <t>95%</t>
  </si>
  <si>
    <t>Confidence Factors</t>
  </si>
  <si>
    <t>Confidence Interval</t>
  </si>
  <si>
    <t>Z</t>
  </si>
  <si>
    <t>Population (if known)</t>
  </si>
  <si>
    <t>80%</t>
  </si>
  <si>
    <t>Variable Data Example From Juran QC Handbook pg 23.50</t>
  </si>
  <si>
    <t>Sampling to determine battery life</t>
  </si>
  <si>
    <t>Attribute Data</t>
  </si>
  <si>
    <t>90%</t>
  </si>
  <si>
    <t>Estimate must be within 2 hours (confidence interval) of true mean</t>
  </si>
  <si>
    <t>Percent defects (50%)</t>
  </si>
  <si>
    <t>Standard Deviation = 10.0 hours</t>
  </si>
  <si>
    <t>Sample Size (Unknown Population)</t>
  </si>
  <si>
    <t>95% confidence level</t>
  </si>
  <si>
    <t xml:space="preserve">  Sample Size for Known Population</t>
  </si>
  <si>
    <t>n= 96</t>
  </si>
  <si>
    <t>Variable Data</t>
  </si>
  <si>
    <t>99%</t>
  </si>
  <si>
    <t>Example 2 - Determine Average Part Length</t>
  </si>
  <si>
    <t>Standard Deviation ([High-Low]/6)</t>
  </si>
  <si>
    <t>Defaults</t>
  </si>
  <si>
    <t>Most production between 2.009 (low) and 2.027 (high) inches</t>
  </si>
  <si>
    <t>Confidence Interval (desired width)</t>
  </si>
  <si>
    <t>Estimate Stdev as (2.027-2.009)/6 = .003 inches</t>
  </si>
  <si>
    <t>Percent defects (Attribute - 50%)</t>
  </si>
  <si>
    <t>Confidence interval = +/- 0.001</t>
  </si>
  <si>
    <t>n=35</t>
  </si>
  <si>
    <t>Attribute RR</t>
  </si>
  <si>
    <t>Sample Size Calculator</t>
  </si>
  <si>
    <t>Fishers' Exact Test</t>
  </si>
  <si>
    <t>Sum of Squares Table</t>
  </si>
  <si>
    <t>Sum of Squares Analysis</t>
  </si>
  <si>
    <t>Design</t>
  </si>
  <si>
    <t>GAGE REPEATABILITY AND REPRODUCIBILITY DATA SHEET</t>
  </si>
  <si>
    <t>VARIABLE DATA RESULTS</t>
  </si>
  <si>
    <t>Part Number</t>
  </si>
  <si>
    <t>Gage Name</t>
  </si>
  <si>
    <t>Appraiser A</t>
  </si>
  <si>
    <t>Part Name</t>
  </si>
  <si>
    <t>Gage Number</t>
  </si>
  <si>
    <t>Appraiser B</t>
  </si>
  <si>
    <t>Characteristic</t>
  </si>
  <si>
    <t>Specification</t>
  </si>
  <si>
    <t>Gage Type</t>
  </si>
  <si>
    <t>Appraiser C</t>
  </si>
  <si>
    <t>Characteristic Classification</t>
  </si>
  <si>
    <t>Trials</t>
  </si>
  <si>
    <t>Parts</t>
  </si>
  <si>
    <t>Appraisers</t>
  </si>
  <si>
    <t>Date Performed</t>
  </si>
  <si>
    <t>APPRAISER/</t>
  </si>
  <si>
    <t>PART</t>
  </si>
  <si>
    <t>AVERAGE</t>
  </si>
  <si>
    <t>Measurement Unit Analysis</t>
  </si>
  <si>
    <t>% Tolerance (Tol)</t>
  </si>
  <si>
    <t>TRIAL #</t>
  </si>
  <si>
    <t xml:space="preserve">  Repeatability - Equipment Variation (EV)</t>
  </si>
  <si>
    <t>1.  A</t>
  </si>
  <si>
    <t>EV</t>
  </si>
  <si>
    <t>=</t>
  </si>
  <si>
    <r>
      <t>R</t>
    </r>
    <r>
      <rPr>
        <sz val="11"/>
        <color theme="1"/>
        <rFont val="Calibri"/>
        <family val="2"/>
        <scheme val="minor"/>
      </rPr>
      <t xml:space="preserve">  x  K</t>
    </r>
    <r>
      <rPr>
        <vertAlign val="subscript"/>
        <sz val="10"/>
        <rFont val="Arial"/>
        <family val="2"/>
      </rPr>
      <t>1</t>
    </r>
  </si>
  <si>
    <t>K1</t>
  </si>
  <si>
    <t>% EV</t>
  </si>
  <si>
    <t>100 (EV/Tol)</t>
  </si>
  <si>
    <r>
      <t>x</t>
    </r>
    <r>
      <rPr>
        <vertAlign val="subscript"/>
        <sz val="10"/>
        <rFont val="Arial"/>
        <family val="2"/>
      </rPr>
      <t>a</t>
    </r>
    <r>
      <rPr>
        <sz val="11"/>
        <color theme="1"/>
        <rFont val="Calibri"/>
        <family val="2"/>
        <scheme val="minor"/>
      </rPr>
      <t>=</t>
    </r>
  </si>
  <si>
    <t xml:space="preserve">  Reproducibility - Appraiser Variation (AV)</t>
  </si>
  <si>
    <t>R</t>
  </si>
  <si>
    <r>
      <t>r</t>
    </r>
    <r>
      <rPr>
        <vertAlign val="subscript"/>
        <sz val="10"/>
        <rFont val="Arial"/>
        <family val="2"/>
      </rPr>
      <t>a</t>
    </r>
    <r>
      <rPr>
        <sz val="11"/>
        <color theme="1"/>
        <rFont val="Calibri"/>
        <family val="2"/>
        <scheme val="minor"/>
      </rPr>
      <t>=</t>
    </r>
  </si>
  <si>
    <t>AV</t>
  </si>
  <si>
    <r>
      <t>{(</t>
    </r>
    <r>
      <rPr>
        <sz val="12"/>
        <rFont val="Statistical Symbols"/>
      </rPr>
      <t>x</t>
    </r>
    <r>
      <rPr>
        <vertAlign val="subscript"/>
        <sz val="10"/>
        <rFont val="Arial"/>
        <family val="2"/>
      </rPr>
      <t>DIFF</t>
    </r>
    <r>
      <rPr>
        <sz val="11"/>
        <color theme="1"/>
        <rFont val="Calibri"/>
        <family val="2"/>
        <scheme val="minor"/>
      </rPr>
      <t xml:space="preserve"> x K</t>
    </r>
    <r>
      <rPr>
        <vertAlign val="subscript"/>
        <sz val="10"/>
        <rFont val="Arial"/>
        <family val="2"/>
      </rPr>
      <t>2</t>
    </r>
    <r>
      <rPr>
        <sz val="11"/>
        <color theme="1"/>
        <rFont val="Calibri"/>
        <family val="2"/>
        <scheme val="minor"/>
      </rPr>
      <t>)</t>
    </r>
    <r>
      <rPr>
        <vertAlign val="superscript"/>
        <sz val="10"/>
        <rFont val="Arial"/>
        <family val="2"/>
      </rPr>
      <t>2</t>
    </r>
    <r>
      <rPr>
        <sz val="11"/>
        <color theme="1"/>
        <rFont val="Calibri"/>
        <family val="2"/>
        <scheme val="minor"/>
      </rPr>
      <t xml:space="preserve"> - (EV</t>
    </r>
    <r>
      <rPr>
        <vertAlign val="superscript"/>
        <sz val="10"/>
        <rFont val="Arial"/>
        <family val="2"/>
      </rPr>
      <t>2</t>
    </r>
    <r>
      <rPr>
        <sz val="11"/>
        <color theme="1"/>
        <rFont val="Calibri"/>
        <family val="2"/>
        <scheme val="minor"/>
      </rPr>
      <t>/nr)}</t>
    </r>
    <r>
      <rPr>
        <vertAlign val="superscript"/>
        <sz val="10"/>
        <rFont val="Arial"/>
        <family val="2"/>
      </rPr>
      <t>1/2</t>
    </r>
  </si>
  <si>
    <t>% AV</t>
  </si>
  <si>
    <t>100 (AV/Tol)</t>
  </si>
  <si>
    <t>6.  B</t>
  </si>
  <si>
    <r>
      <t>x</t>
    </r>
    <r>
      <rPr>
        <vertAlign val="subscript"/>
        <sz val="10"/>
        <rFont val="Arial"/>
        <family val="2"/>
      </rPr>
      <t>b</t>
    </r>
    <r>
      <rPr>
        <sz val="11"/>
        <color theme="1"/>
        <rFont val="Calibri"/>
        <family val="2"/>
        <scheme val="minor"/>
      </rPr>
      <t>=</t>
    </r>
  </si>
  <si>
    <t xml:space="preserve">           n = parts        r = trials</t>
  </si>
  <si>
    <r>
      <t>K</t>
    </r>
    <r>
      <rPr>
        <vertAlign val="subscript"/>
        <sz val="10"/>
        <rFont val="Arial"/>
        <family val="2"/>
      </rPr>
      <t>2</t>
    </r>
  </si>
  <si>
    <r>
      <t>r</t>
    </r>
    <r>
      <rPr>
        <vertAlign val="subscript"/>
        <sz val="10"/>
        <rFont val="Arial"/>
        <family val="2"/>
      </rPr>
      <t>b</t>
    </r>
    <r>
      <rPr>
        <sz val="11"/>
        <color theme="1"/>
        <rFont val="Calibri"/>
        <family val="2"/>
        <scheme val="minor"/>
      </rPr>
      <t>=</t>
    </r>
  </si>
  <si>
    <t xml:space="preserve">  Repeatability &amp; Reproducibility (GRR)</t>
  </si>
  <si>
    <t>% GRR</t>
  </si>
  <si>
    <t>100 (GRR/Tol)</t>
  </si>
  <si>
    <t>11.  C</t>
  </si>
  <si>
    <t>GRR</t>
  </si>
  <si>
    <r>
      <t>{(EV</t>
    </r>
    <r>
      <rPr>
        <vertAlign val="superscript"/>
        <sz val="10"/>
        <rFont val="Arial"/>
        <family val="2"/>
      </rPr>
      <t>2</t>
    </r>
    <r>
      <rPr>
        <sz val="11"/>
        <color theme="1"/>
        <rFont val="Calibri"/>
        <family val="2"/>
        <scheme val="minor"/>
      </rPr>
      <t xml:space="preserve"> + AV</t>
    </r>
    <r>
      <rPr>
        <vertAlign val="superscript"/>
        <sz val="10"/>
        <rFont val="Arial"/>
        <family val="2"/>
      </rPr>
      <t>2</t>
    </r>
    <r>
      <rPr>
        <sz val="11"/>
        <color theme="1"/>
        <rFont val="Calibri"/>
        <family val="2"/>
        <scheme val="minor"/>
      </rPr>
      <t>)}</t>
    </r>
    <r>
      <rPr>
        <vertAlign val="superscript"/>
        <sz val="10"/>
        <rFont val="Arial"/>
        <family val="2"/>
      </rPr>
      <t>1/2</t>
    </r>
  </si>
  <si>
    <r>
      <t>K</t>
    </r>
    <r>
      <rPr>
        <b/>
        <vertAlign val="subscript"/>
        <sz val="10"/>
        <rFont val="Arial"/>
        <family val="2"/>
      </rPr>
      <t>3</t>
    </r>
  </si>
  <si>
    <r>
      <t>x</t>
    </r>
    <r>
      <rPr>
        <vertAlign val="subscript"/>
        <sz val="10"/>
        <rFont val="Arial"/>
        <family val="2"/>
      </rPr>
      <t>c</t>
    </r>
    <r>
      <rPr>
        <sz val="11"/>
        <color theme="1"/>
        <rFont val="Calibri"/>
        <family val="2"/>
        <scheme val="minor"/>
      </rPr>
      <t>=</t>
    </r>
  </si>
  <si>
    <t xml:space="preserve">  Part Variation (PV)</t>
  </si>
  <si>
    <r>
      <t>r</t>
    </r>
    <r>
      <rPr>
        <vertAlign val="subscript"/>
        <sz val="10"/>
        <rFont val="Arial"/>
        <family val="2"/>
      </rPr>
      <t>c</t>
    </r>
    <r>
      <rPr>
        <sz val="10"/>
        <rFont val="Arial"/>
        <family val="2"/>
      </rPr>
      <t>=</t>
    </r>
  </si>
  <si>
    <t>PV</t>
  </si>
  <si>
    <r>
      <t>R</t>
    </r>
    <r>
      <rPr>
        <vertAlign val="subscript"/>
        <sz val="10"/>
        <rFont val="Arial"/>
        <family val="2"/>
      </rPr>
      <t>P</t>
    </r>
    <r>
      <rPr>
        <sz val="11"/>
        <color theme="1"/>
        <rFont val="Calibri"/>
        <family val="2"/>
        <scheme val="minor"/>
      </rPr>
      <t xml:space="preserve"> x K</t>
    </r>
    <r>
      <rPr>
        <vertAlign val="subscript"/>
        <sz val="10"/>
        <rFont val="Arial"/>
        <family val="2"/>
      </rPr>
      <t>3</t>
    </r>
  </si>
  <si>
    <t>% PV</t>
  </si>
  <si>
    <t>100 (PV/Tol)</t>
  </si>
  <si>
    <t xml:space="preserve">16. PART </t>
  </si>
  <si>
    <r>
      <t>X</t>
    </r>
    <r>
      <rPr>
        <sz val="11"/>
        <color theme="1"/>
        <rFont val="Calibri"/>
        <family val="2"/>
        <scheme val="minor"/>
      </rPr>
      <t>=</t>
    </r>
  </si>
  <si>
    <t xml:space="preserve">   AVERAGE</t>
  </si>
  <si>
    <r>
      <t>R</t>
    </r>
    <r>
      <rPr>
        <vertAlign val="subscript"/>
        <sz val="10"/>
        <rFont val="Arial"/>
        <family val="2"/>
      </rPr>
      <t>p</t>
    </r>
    <r>
      <rPr>
        <sz val="11"/>
        <color theme="1"/>
        <rFont val="Calibri"/>
        <family val="2"/>
        <scheme val="minor"/>
      </rPr>
      <t>=</t>
    </r>
  </si>
  <si>
    <r>
      <t>(</t>
    </r>
    <r>
      <rPr>
        <sz val="12"/>
        <rFont val="Statistical Symbols"/>
      </rPr>
      <t>r</t>
    </r>
    <r>
      <rPr>
        <vertAlign val="subscript"/>
        <sz val="10"/>
        <rFont val="Arial"/>
        <family val="2"/>
      </rPr>
      <t>a</t>
    </r>
    <r>
      <rPr>
        <sz val="11"/>
        <color theme="1"/>
        <rFont val="Calibri"/>
        <family val="2"/>
        <scheme val="minor"/>
      </rPr>
      <t xml:space="preserve"> + </t>
    </r>
    <r>
      <rPr>
        <sz val="12"/>
        <rFont val="Statistical Symbols"/>
      </rPr>
      <t>r</t>
    </r>
    <r>
      <rPr>
        <vertAlign val="subscript"/>
        <sz val="10"/>
        <rFont val="Arial"/>
        <family val="2"/>
      </rPr>
      <t>b</t>
    </r>
    <r>
      <rPr>
        <sz val="11"/>
        <color theme="1"/>
        <rFont val="Calibri"/>
        <family val="2"/>
        <scheme val="minor"/>
      </rPr>
      <t xml:space="preserve"> + </t>
    </r>
    <r>
      <rPr>
        <sz val="12"/>
        <rFont val="Statistical Symbols"/>
      </rPr>
      <t>r</t>
    </r>
    <r>
      <rPr>
        <vertAlign val="subscript"/>
        <sz val="10"/>
        <rFont val="Arial"/>
        <family val="2"/>
      </rPr>
      <t>c</t>
    </r>
    <r>
      <rPr>
        <sz val="11"/>
        <color theme="1"/>
        <rFont val="Calibri"/>
        <family val="2"/>
        <scheme val="minor"/>
      </rPr>
      <t>) / (# OF APPRAISERS) =</t>
    </r>
  </si>
  <si>
    <r>
      <t>R</t>
    </r>
    <r>
      <rPr>
        <sz val="11"/>
        <color theme="1"/>
        <rFont val="Calibri"/>
        <family val="2"/>
        <scheme val="minor"/>
      </rPr>
      <t>=</t>
    </r>
  </si>
  <si>
    <t xml:space="preserve">  Tolerance (Tol)</t>
  </si>
  <si>
    <r>
      <t>x</t>
    </r>
    <r>
      <rPr>
        <vertAlign val="subscript"/>
        <sz val="10"/>
        <rFont val="Arial"/>
        <family val="2"/>
      </rPr>
      <t>DIFF</t>
    </r>
    <r>
      <rPr>
        <sz val="11"/>
        <color theme="1"/>
        <rFont val="Calibri"/>
        <family val="2"/>
        <scheme val="minor"/>
      </rPr>
      <t xml:space="preserve"> = (Max </t>
    </r>
    <r>
      <rPr>
        <sz val="12"/>
        <rFont val="Statistical Symbols"/>
      </rPr>
      <t>x</t>
    </r>
    <r>
      <rPr>
        <sz val="11"/>
        <color theme="1"/>
        <rFont val="Calibri"/>
        <family val="2"/>
        <scheme val="minor"/>
      </rPr>
      <t xml:space="preserve"> - Min </t>
    </r>
    <r>
      <rPr>
        <sz val="12"/>
        <rFont val="Statistical Symbols"/>
      </rPr>
      <t>x</t>
    </r>
    <r>
      <rPr>
        <sz val="11"/>
        <color theme="1"/>
        <rFont val="Calibri"/>
        <family val="2"/>
        <scheme val="minor"/>
      </rPr>
      <t>) =</t>
    </r>
  </si>
  <si>
    <r>
      <t>x</t>
    </r>
    <r>
      <rPr>
        <vertAlign val="subscript"/>
        <sz val="10"/>
        <rFont val="Arial"/>
        <family val="2"/>
      </rPr>
      <t>DIFF</t>
    </r>
    <r>
      <rPr>
        <sz val="11"/>
        <color theme="1"/>
        <rFont val="Calibri"/>
        <family val="2"/>
        <scheme val="minor"/>
      </rPr>
      <t>=</t>
    </r>
  </si>
  <si>
    <t>Tol</t>
  </si>
  <si>
    <t>Upper - Lower</t>
  </si>
  <si>
    <t>ndc</t>
  </si>
  <si>
    <t>1.41(PV/GRR)</t>
  </si>
  <si>
    <r>
      <t>* UCL</t>
    </r>
    <r>
      <rPr>
        <vertAlign val="subscript"/>
        <sz val="10"/>
        <rFont val="Arial"/>
        <family val="2"/>
      </rPr>
      <t>R</t>
    </r>
    <r>
      <rPr>
        <sz val="10"/>
        <rFont val="Arial"/>
        <family val="2"/>
      </rPr>
      <t xml:space="preserve"> =</t>
    </r>
    <r>
      <rPr>
        <sz val="12"/>
        <rFont val="Arial"/>
        <family val="2"/>
      </rPr>
      <t xml:space="preserve"> </t>
    </r>
    <r>
      <rPr>
        <sz val="12"/>
        <rFont val="Statistical Symbols"/>
      </rPr>
      <t>R</t>
    </r>
    <r>
      <rPr>
        <sz val="11"/>
        <color theme="1"/>
        <rFont val="Calibri"/>
        <family val="2"/>
        <scheme val="minor"/>
      </rPr>
      <t xml:space="preserve"> x D</t>
    </r>
    <r>
      <rPr>
        <vertAlign val="subscript"/>
        <sz val="10"/>
        <rFont val="Arial"/>
        <family val="2"/>
      </rPr>
      <t>4</t>
    </r>
    <r>
      <rPr>
        <sz val="11"/>
        <color theme="1"/>
        <rFont val="Calibri"/>
        <family val="2"/>
        <scheme val="minor"/>
      </rPr>
      <t xml:space="preserve"> =</t>
    </r>
  </si>
  <si>
    <r>
      <t>UCL</t>
    </r>
    <r>
      <rPr>
        <vertAlign val="subscript"/>
        <sz val="10"/>
        <rFont val="Arial"/>
        <family val="2"/>
      </rPr>
      <t>R</t>
    </r>
    <r>
      <rPr>
        <sz val="11"/>
        <color theme="1"/>
        <rFont val="Calibri"/>
        <family val="2"/>
        <scheme val="minor"/>
      </rPr>
      <t>=</t>
    </r>
  </si>
  <si>
    <r>
      <t>* D</t>
    </r>
    <r>
      <rPr>
        <vertAlign val="subscript"/>
        <sz val="8"/>
        <rFont val="Arial"/>
        <family val="2"/>
      </rPr>
      <t>4</t>
    </r>
    <r>
      <rPr>
        <sz val="8"/>
        <rFont val="Arial"/>
        <family val="2"/>
      </rPr>
      <t xml:space="preserve"> =3.27 for 2 trials and 2.58 for 3 trials.  </t>
    </r>
    <r>
      <rPr>
        <sz val="8"/>
        <rFont val="Arial"/>
        <family val="2"/>
      </rPr>
      <t>UCL</t>
    </r>
    <r>
      <rPr>
        <vertAlign val="subscript"/>
        <sz val="8"/>
        <rFont val="Arial"/>
        <family val="2"/>
      </rPr>
      <t>R</t>
    </r>
    <r>
      <rPr>
        <sz val="8"/>
        <rFont val="Arial"/>
        <family val="2"/>
      </rPr>
      <t xml:space="preserve"> represents the limit of individual R's.  Circle those that are</t>
    </r>
  </si>
  <si>
    <t>beyond this limit.  Identify the cause and correct.  Repeat these readings using the same appraiser and unit as originally used or</t>
  </si>
  <si>
    <r>
      <t xml:space="preserve">discard values and re-average and recompute </t>
    </r>
    <r>
      <rPr>
        <sz val="10"/>
        <rFont val="Statistical Symbols"/>
      </rPr>
      <t>R</t>
    </r>
    <r>
      <rPr>
        <sz val="8"/>
        <rFont val="Arial"/>
        <family val="2"/>
      </rPr>
      <t xml:space="preserve"> and the limiting value from the remaining observations.</t>
    </r>
  </si>
  <si>
    <r>
      <t xml:space="preserve">   For information on the theory and constants used in the form see </t>
    </r>
    <r>
      <rPr>
        <i/>
        <sz val="10"/>
        <rFont val="Arial"/>
        <family val="2"/>
      </rPr>
      <t>MSA Reference Manual</t>
    </r>
    <r>
      <rPr>
        <sz val="11"/>
        <color theme="1"/>
        <rFont val="Calibri"/>
        <family val="2"/>
        <scheme val="minor"/>
      </rPr>
      <t>, Third edition.</t>
    </r>
  </si>
  <si>
    <t>Notes:</t>
  </si>
  <si>
    <t>Design FMEA</t>
  </si>
  <si>
    <t>Validate</t>
  </si>
  <si>
    <t>External Link</t>
  </si>
  <si>
    <t>..\Aux Tools\Design FMEA Template.xls</t>
  </si>
  <si>
    <t>DOE Terms</t>
  </si>
  <si>
    <t>..\Aux Tools\DOE Terms.docx</t>
  </si>
  <si>
    <t xml:space="preserve">DOE  </t>
  </si>
  <si>
    <t>..\Aux Tools\DOE.xlsx</t>
  </si>
  <si>
    <t>Hypothesis Tests</t>
  </si>
  <si>
    <t>..\Aux Tools\Hypothesis Tests.xlsx</t>
  </si>
  <si>
    <t>Improve Toolkit</t>
  </si>
  <si>
    <t>..\Aux Tools\Improve Toolkit.xlsx</t>
  </si>
  <si>
    <t>Lean Scorecard</t>
  </si>
  <si>
    <t>TAKT</t>
  </si>
  <si>
    <t>Value Added Flow</t>
  </si>
  <si>
    <t>Yamazumi Chart</t>
  </si>
  <si>
    <t>Lean</t>
  </si>
  <si>
    <t>..\Aux Tools\Lean Scorecard.xlsm</t>
  </si>
  <si>
    <t>..\Aux Tools\TAKT.xlsx</t>
  </si>
  <si>
    <t>..\Aux Tools\Value Added Flow.xlsx</t>
  </si>
  <si>
    <t>..\Aux Tools\Yamazumi.xlsm</t>
  </si>
  <si>
    <t>Project Charter</t>
  </si>
  <si>
    <t>..\Aux Tools\Project Charter.docx</t>
  </si>
  <si>
    <t>Backup zip Folders</t>
  </si>
  <si>
    <t>Additional tools</t>
  </si>
  <si>
    <t>Simplilearn Toolkit</t>
  </si>
  <si>
    <t>Control Chart Constants</t>
  </si>
  <si>
    <t>Attribute Charts</t>
  </si>
  <si>
    <t>Process Shift Charts</t>
  </si>
  <si>
    <t>X Bar R Template</t>
  </si>
  <si>
    <t>X Bar S Template</t>
  </si>
  <si>
    <t>..\Aux Tools\Control Tools.zip</t>
  </si>
  <si>
    <t>Control tools</t>
  </si>
  <si>
    <t>Pugh Matrix'!A1</t>
  </si>
  <si>
    <t>Net Present Value'!A1</t>
  </si>
  <si>
    <t>VOC - Y Sheet'!A1</t>
  </si>
  <si>
    <t>Prioritizing Cust Req'!A1</t>
  </si>
  <si>
    <t>QFD!A1</t>
  </si>
  <si>
    <t>RACI Matrix'!A1</t>
  </si>
  <si>
    <t>Gantt Chart'!A1</t>
  </si>
  <si>
    <t>CE Matrix'!A1</t>
  </si>
  <si>
    <t>Variables GRR'!A1</t>
  </si>
  <si>
    <t>Sample Size Calculator'!A1</t>
  </si>
  <si>
    <t>Attribute RR'!A1</t>
  </si>
  <si>
    <t>DPMO-Sig Conversion'!A1</t>
  </si>
  <si>
    <t>Fishers Test'!A1</t>
  </si>
  <si>
    <t>Sum of Squares Table'!A1</t>
  </si>
  <si>
    <t>Sum of Squares Analysis'!A1</t>
  </si>
  <si>
    <t>Project 1</t>
  </si>
  <si>
    <t>Project 2</t>
  </si>
  <si>
    <t>Project 3</t>
  </si>
  <si>
    <t>Project 4</t>
  </si>
  <si>
    <t>Project 5</t>
  </si>
  <si>
    <t>Project Prioritization Matrix</t>
  </si>
  <si>
    <t>Suppliers</t>
  </si>
  <si>
    <t>Inputs</t>
  </si>
  <si>
    <t>Process</t>
  </si>
  <si>
    <t>Outputs</t>
  </si>
  <si>
    <t>Customers</t>
  </si>
  <si>
    <t>Resources Provider</t>
  </si>
  <si>
    <t>Resources used as Inputs</t>
  </si>
  <si>
    <t>Process Activities Flow Chart</t>
  </si>
  <si>
    <t>Process Outputs</t>
  </si>
  <si>
    <t>Consumer of the output
Customer or next process)</t>
  </si>
  <si>
    <t>SIPOC</t>
  </si>
  <si>
    <t>Gage RR</t>
  </si>
  <si>
    <t>Project Prioritization Matrix!'A1</t>
  </si>
  <si>
    <t>SIPOC!A1</t>
  </si>
  <si>
    <t>GRR Done'!A1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</si>
</sst>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 #,##0.00_ ;_ * \-#,##0.00_ ;_ * &quot;-&quot;??_ ;_ @_ "/>
    <numFmt numFmtId="165" formatCode="0.0%"/>
    <numFmt numFmtId="166" formatCode="[$USD]\ #,##0"/>
    <numFmt numFmtId="167" formatCode="[$USD]\ #,##0.00;[Red][$USD]\ \-#,##0.00"/>
    <numFmt numFmtId="168" formatCode="0.0"/>
    <numFmt numFmtId="169" formatCode="0.00000%"/>
    <numFmt numFmtId="170" formatCode="0.000"/>
    <numFmt numFmtId="171" formatCode="0."/>
    <numFmt numFmtId="172" formatCode="0.0000"/>
    <numFmt numFmtId="173" formatCode="_-[$$-409]* #,##0_ ;_-[$$-409]* \-#,##0\ ;_-[$$-409]* &quot;-&quot;??_ ;_-@_ "/>
  </numFmts>
  <fonts count="71">
    <font>
      <sz val="11"/>
      <color theme="1"/>
      <name val="Calibri"/>
      <family val="2"/>
      <scheme val="minor"/>
    </font>
    <font>
      <b/>
      <sz val="14"/>
      <color theme="1"/>
      <name val="Calibri"/>
      <family val="2"/>
      <scheme val="minor"/>
    </font>
    <font>
      <b/>
      <sz val="16"/>
      <name val="Arial"/>
      <family val="2"/>
    </font>
    <font>
      <b/>
      <sz val="10"/>
      <name val="Arial"/>
      <family val="2"/>
    </font>
    <font>
      <b/>
      <sz val="11"/>
      <name val="Arial"/>
      <family val="2"/>
    </font>
    <font>
      <sz val="11"/>
      <name val="Arial"/>
      <family val="2"/>
    </font>
    <font>
      <b/>
      <i/>
      <sz val="9"/>
      <color indexed="10"/>
      <name val="Arial"/>
      <family val="2"/>
    </font>
    <font>
      <b/>
      <sz val="8"/>
      <name val="Arial"/>
      <family val="2"/>
    </font>
    <font>
      <b/>
      <i/>
      <sz val="8"/>
      <color indexed="10"/>
      <name val="Arial"/>
      <family val="2"/>
    </font>
    <font>
      <sz val="10"/>
      <name val="Arial"/>
      <family val="2"/>
    </font>
    <font>
      <b/>
      <i/>
      <sz val="10"/>
      <name val="Arial"/>
      <family val="2"/>
    </font>
    <font>
      <sz val="7"/>
      <name val="Trebuchet MS"/>
      <family val="2"/>
    </font>
    <font>
      <sz val="10"/>
      <name val="Trebuchet MS"/>
      <family val="2"/>
    </font>
    <font>
      <b/>
      <sz val="12"/>
      <name val="Trebuchet MS"/>
      <family val="2"/>
    </font>
    <font>
      <sz val="6"/>
      <name val="Trebuchet MS"/>
      <family val="2"/>
    </font>
    <font>
      <b/>
      <sz val="16"/>
      <color indexed="9"/>
      <name val="Franklin Gothic Book"/>
      <family val="2"/>
    </font>
    <font>
      <sz val="10"/>
      <name val="Franklin Gothic Book"/>
      <family val="2"/>
    </font>
    <font>
      <b/>
      <sz val="14"/>
      <color indexed="9"/>
      <name val="Franklin Gothic Book"/>
      <family val="2"/>
    </font>
    <font>
      <b/>
      <sz val="14"/>
      <name val="Franklin Gothic Book"/>
      <family val="2"/>
    </font>
    <font>
      <b/>
      <sz val="12"/>
      <name val="Franklin Gothic Book"/>
      <family val="2"/>
    </font>
    <font>
      <sz val="12"/>
      <name val="Franklin Gothic Book"/>
      <family val="2"/>
    </font>
    <font>
      <sz val="11"/>
      <color theme="1"/>
      <name val="Calibri"/>
      <family val="2"/>
      <scheme val="minor"/>
    </font>
    <font>
      <b/>
      <sz val="11"/>
      <color theme="1"/>
      <name val="Calibri"/>
      <family val="2"/>
      <scheme val="minor"/>
    </font>
    <font>
      <u/>
      <sz val="11"/>
      <color theme="10"/>
      <name val="Calibri"/>
      <family val="2"/>
      <scheme val="minor"/>
    </font>
    <font>
      <sz val="12"/>
      <name val="Arial"/>
      <family val="2"/>
    </font>
    <font>
      <sz val="10"/>
      <name val="Geneva"/>
    </font>
    <font>
      <b/>
      <sz val="12"/>
      <name val="Arial"/>
      <family val="2"/>
    </font>
    <font>
      <sz val="14"/>
      <name val="Arial"/>
      <family val="2"/>
    </font>
    <font>
      <b/>
      <sz val="14"/>
      <name val="Arial"/>
      <family val="2"/>
    </font>
    <font>
      <u/>
      <sz val="10"/>
      <color indexed="12"/>
      <name val="Geneva"/>
    </font>
    <font>
      <b/>
      <i/>
      <sz val="14"/>
      <name val="Arial"/>
      <family val="2"/>
    </font>
    <font>
      <i/>
      <sz val="12"/>
      <name val="Arial"/>
      <family val="2"/>
    </font>
    <font>
      <sz val="12"/>
      <color indexed="8"/>
      <name val="Arial"/>
      <family val="2"/>
    </font>
    <font>
      <sz val="14"/>
      <color indexed="8"/>
      <name val="Arial"/>
      <family val="2"/>
    </font>
    <font>
      <b/>
      <sz val="8"/>
      <color indexed="81"/>
      <name val="Tahoma"/>
      <family val="2"/>
    </font>
    <font>
      <sz val="8"/>
      <color indexed="81"/>
      <name val="Tahoma"/>
      <family val="2"/>
    </font>
    <font>
      <b/>
      <i/>
      <sz val="16"/>
      <name val="Arial"/>
      <family val="2"/>
    </font>
    <font>
      <sz val="10"/>
      <name val="Arial Narrow"/>
      <family val="2"/>
    </font>
    <font>
      <sz val="8"/>
      <name val="Arial"/>
      <family val="2"/>
    </font>
    <font>
      <b/>
      <sz val="9"/>
      <name val="Arial"/>
      <family val="2"/>
    </font>
    <font>
      <b/>
      <i/>
      <u/>
      <sz val="10"/>
      <name val="Arial"/>
      <family val="2"/>
    </font>
    <font>
      <b/>
      <sz val="9"/>
      <color indexed="8"/>
      <name val="Calibri"/>
      <family val="2"/>
    </font>
    <font>
      <b/>
      <sz val="11"/>
      <color indexed="8"/>
      <name val="Calibri"/>
      <family val="2"/>
    </font>
    <font>
      <b/>
      <sz val="8"/>
      <color indexed="8"/>
      <name val="Calibri"/>
      <family val="2"/>
    </font>
    <font>
      <sz val="9"/>
      <color indexed="8"/>
      <name val="Calibri"/>
      <family val="2"/>
    </font>
    <font>
      <sz val="8"/>
      <color indexed="23"/>
      <name val="Calibri"/>
      <family val="2"/>
    </font>
    <font>
      <sz val="9"/>
      <color indexed="23"/>
      <name val="Calibri"/>
      <family val="2"/>
    </font>
    <font>
      <sz val="11"/>
      <color indexed="31"/>
      <name val="Calibri"/>
      <family val="2"/>
    </font>
    <font>
      <sz val="8"/>
      <color indexed="23"/>
      <name val="Webdings"/>
      <family val="1"/>
      <charset val="2"/>
    </font>
    <font>
      <u/>
      <sz val="8"/>
      <color indexed="53"/>
      <name val="Verdana"/>
      <family val="2"/>
    </font>
    <font>
      <sz val="8"/>
      <name val="Arial"/>
      <family val="2"/>
    </font>
    <font>
      <sz val="10"/>
      <name val="Arial"/>
      <family val="2"/>
    </font>
    <font>
      <u/>
      <sz val="8"/>
      <color indexed="12"/>
      <name val="Arial"/>
      <family val="2"/>
    </font>
    <font>
      <u/>
      <sz val="10"/>
      <color indexed="12"/>
      <name val="Arial"/>
      <family val="2"/>
    </font>
    <font>
      <sz val="10"/>
      <color indexed="10"/>
      <name val="Arial"/>
      <family val="2"/>
    </font>
    <font>
      <sz val="10"/>
      <color indexed="12"/>
      <name val="Arial"/>
      <family val="2"/>
    </font>
    <font>
      <b/>
      <sz val="8"/>
      <name val="Arial"/>
      <family val="2"/>
    </font>
    <font>
      <b/>
      <sz val="10"/>
      <color indexed="10"/>
      <name val="Arial"/>
      <family val="2"/>
    </font>
    <font>
      <vertAlign val="subscript"/>
      <sz val="11"/>
      <color theme="1"/>
      <name val="Calibri"/>
      <family val="2"/>
      <scheme val="minor"/>
    </font>
    <font>
      <sz val="10"/>
      <color indexed="8"/>
      <name val="Arial"/>
      <family val="2"/>
    </font>
    <font>
      <sz val="12"/>
      <name val="Statistical Symbols"/>
    </font>
    <font>
      <vertAlign val="subscript"/>
      <sz val="10"/>
      <name val="Arial"/>
      <family val="2"/>
    </font>
    <font>
      <vertAlign val="superscript"/>
      <sz val="10"/>
      <name val="Arial"/>
      <family val="2"/>
    </font>
    <font>
      <b/>
      <sz val="6"/>
      <name val="Small Fonts"/>
      <family val="2"/>
    </font>
    <font>
      <b/>
      <vertAlign val="subscript"/>
      <sz val="10"/>
      <name val="Arial"/>
      <family val="2"/>
    </font>
    <font>
      <i/>
      <sz val="10"/>
      <name val="Arial"/>
      <family val="2"/>
    </font>
    <font>
      <sz val="10"/>
      <name val="Statistical Symbols"/>
    </font>
    <font>
      <vertAlign val="subscript"/>
      <sz val="8"/>
      <name val="Arial"/>
      <family val="2"/>
    </font>
    <font>
      <sz val="14"/>
      <color theme="1"/>
      <name val="Calibri"/>
      <family val="2"/>
      <scheme val="minor"/>
    </font>
    <font>
      <sz val="14"/>
      <color theme="1"/>
      <name val="Arial"/>
      <family val="2"/>
    </font>
    <font>
      <sz val="14"/>
      <color rgb="FF00000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indexed="13"/>
        <bgColor indexed="64"/>
      </patternFill>
    </fill>
    <fill>
      <patternFill patternType="solid">
        <fgColor rgb="FFFFFF00"/>
        <bgColor indexed="64"/>
      </patternFill>
    </fill>
    <fill>
      <patternFill patternType="solid">
        <fgColor indexed="55"/>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26"/>
        <bgColor indexed="64"/>
      </patternFill>
    </fill>
    <fill>
      <patternFill patternType="solid">
        <fgColor indexed="31"/>
        <bgColor indexed="64"/>
      </patternFill>
    </fill>
    <fill>
      <patternFill patternType="solid">
        <fgColor theme="0" tint="-0.249977111117893"/>
        <bgColor indexed="64"/>
      </patternFill>
    </fill>
  </fills>
  <borders count="1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Dashed">
        <color indexed="64"/>
      </top>
      <bottom/>
      <diagonal/>
    </border>
    <border>
      <left/>
      <right/>
      <top/>
      <bottom style="mediumDashed">
        <color indexed="64"/>
      </bottom>
      <diagonal/>
    </border>
    <border>
      <left style="dotted">
        <color indexed="64"/>
      </left>
      <right style="dotted">
        <color indexed="64"/>
      </right>
      <top style="dotted">
        <color indexed="64"/>
      </top>
      <bottom style="thick">
        <color indexed="64"/>
      </bottom>
      <diagonal/>
    </border>
    <border>
      <left style="thick">
        <color indexed="64"/>
      </left>
      <right/>
      <top/>
      <bottom/>
      <diagonal/>
    </border>
    <border>
      <left/>
      <right style="thick">
        <color indexed="64"/>
      </right>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style="dotted">
        <color indexed="64"/>
      </left>
      <right style="thick">
        <color indexed="64"/>
      </right>
      <top style="dotted">
        <color indexed="64"/>
      </top>
      <bottom style="thick">
        <color indexed="64"/>
      </bottom>
      <diagonal/>
    </border>
    <border>
      <left/>
      <right/>
      <top style="thick">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64"/>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style="thin">
        <color indexed="64"/>
      </left>
      <right/>
      <top style="thin">
        <color indexed="55"/>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style="thin">
        <color indexed="64"/>
      </right>
      <top style="thin">
        <color indexed="55"/>
      </top>
      <bottom/>
      <diagonal/>
    </border>
    <border>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style="thin">
        <color indexed="64"/>
      </left>
      <right style="thin">
        <color indexed="55"/>
      </right>
      <top/>
      <bottom/>
      <diagonal/>
    </border>
    <border>
      <left style="thin">
        <color indexed="55"/>
      </left>
      <right style="thin">
        <color indexed="55"/>
      </right>
      <top/>
      <bottom/>
      <diagonal/>
    </border>
    <border>
      <left style="thin">
        <color indexed="55"/>
      </left>
      <right style="thin">
        <color indexed="64"/>
      </right>
      <top/>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s>
  <cellStyleXfs count="7">
    <xf numFmtId="0" fontId="0" fillId="0" borderId="0"/>
    <xf numFmtId="164" fontId="21" fillId="0" borderId="0" applyFont="0" applyFill="0" applyBorder="0" applyAlignment="0" applyProtection="0"/>
    <xf numFmtId="9" fontId="21" fillId="0" borderId="0" applyFont="0" applyFill="0" applyBorder="0" applyAlignment="0" applyProtection="0"/>
    <xf numFmtId="0" fontId="23" fillId="0" borderId="0" applyNumberFormat="0" applyFill="0" applyBorder="0" applyAlignment="0" applyProtection="0"/>
    <xf numFmtId="0" fontId="51" fillId="0" borderId="0"/>
    <xf numFmtId="0" fontId="53" fillId="0" borderId="0" applyNumberFormat="0" applyFill="0" applyBorder="0" applyAlignment="0" applyProtection="0">
      <alignment vertical="top"/>
      <protection locked="0"/>
    </xf>
    <xf numFmtId="0" fontId="9" fillId="0" borderId="0"/>
  </cellStyleXfs>
  <cellXfs count="708">
    <xf numFmtId="0" fontId="0" fillId="0" borderId="0" xfId="0"/>
    <xf numFmtId="0" fontId="0" fillId="0" borderId="0" xfId="0" applyAlignment="1">
      <alignment wrapText="1"/>
    </xf>
    <xf numFmtId="0" fontId="0" fillId="0" borderId="1"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1" fillId="2" borderId="2" xfId="0" applyFont="1" applyFill="1" applyBorder="1"/>
    <xf numFmtId="0" fontId="1" fillId="2" borderId="3" xfId="0" applyFont="1" applyFill="1" applyBorder="1"/>
    <xf numFmtId="0" fontId="1" fillId="2" borderId="4" xfId="0" applyFont="1" applyFill="1" applyBorder="1"/>
    <xf numFmtId="9" fontId="0" fillId="0" borderId="0" xfId="0" applyNumberFormat="1"/>
    <xf numFmtId="0" fontId="0" fillId="0" borderId="10" xfId="0" applyBorder="1"/>
    <xf numFmtId="0" fontId="0" fillId="0" borderId="11" xfId="0" applyBorder="1"/>
    <xf numFmtId="0" fontId="0" fillId="0" borderId="12" xfId="0" applyBorder="1"/>
    <xf numFmtId="0" fontId="0" fillId="0" borderId="0" xfId="0" applyBorder="1"/>
    <xf numFmtId="0" fontId="0" fillId="0" borderId="14" xfId="0" applyBorder="1"/>
    <xf numFmtId="0" fontId="0" fillId="0" borderId="14" xfId="0" applyBorder="1" applyAlignment="1">
      <alignment wrapText="1"/>
    </xf>
    <xf numFmtId="0" fontId="0" fillId="0" borderId="15" xfId="0" applyBorder="1"/>
    <xf numFmtId="0" fontId="0" fillId="0" borderId="16" xfId="0" applyBorder="1"/>
    <xf numFmtId="0" fontId="0" fillId="0" borderId="17" xfId="0" applyBorder="1"/>
    <xf numFmtId="0" fontId="0" fillId="0" borderId="0" xfId="0" applyBorder="1" applyAlignment="1">
      <alignment wrapText="1"/>
    </xf>
    <xf numFmtId="0" fontId="0" fillId="0" borderId="1" xfId="0" applyBorder="1"/>
    <xf numFmtId="0" fontId="0" fillId="3" borderId="1" xfId="0" applyFill="1"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3" borderId="5" xfId="0" applyFill="1" applyBorder="1" applyAlignment="1">
      <alignment wrapText="1"/>
    </xf>
    <xf numFmtId="0" fontId="0" fillId="0" borderId="7" xfId="0" applyBorder="1"/>
    <xf numFmtId="0" fontId="0" fillId="0" borderId="8" xfId="0" applyBorder="1"/>
    <xf numFmtId="0" fontId="0" fillId="0" borderId="9" xfId="0" applyBorder="1"/>
    <xf numFmtId="9" fontId="0" fillId="0" borderId="1" xfId="0" applyNumberFormat="1" applyBorder="1" applyAlignment="1">
      <alignment wrapText="1"/>
    </xf>
    <xf numFmtId="0" fontId="0" fillId="0" borderId="13" xfId="0" applyFill="1" applyBorder="1"/>
    <xf numFmtId="10" fontId="0" fillId="0" borderId="0" xfId="0" applyNumberFormat="1"/>
    <xf numFmtId="165" fontId="0" fillId="0" borderId="0" xfId="0" applyNumberFormat="1"/>
    <xf numFmtId="0" fontId="4" fillId="0" borderId="0" xfId="0" quotePrefix="1" applyFont="1" applyAlignment="1">
      <alignment horizontal="left"/>
    </xf>
    <xf numFmtId="0" fontId="4" fillId="0" borderId="0" xfId="0" quotePrefix="1" applyFont="1" applyAlignment="1">
      <alignment horizontal="right"/>
    </xf>
    <xf numFmtId="0" fontId="7" fillId="0" borderId="1" xfId="0" quotePrefix="1" applyFont="1" applyBorder="1" applyAlignment="1">
      <alignment horizontal="center" wrapText="1"/>
    </xf>
    <xf numFmtId="0" fontId="3" fillId="0" borderId="1" xfId="0" applyFont="1" applyFill="1" applyBorder="1" applyAlignment="1">
      <alignment horizontal="center"/>
    </xf>
    <xf numFmtId="0" fontId="8" fillId="0" borderId="0" xfId="0" quotePrefix="1" applyFont="1" applyAlignment="1">
      <alignment horizontal="left"/>
    </xf>
    <xf numFmtId="0" fontId="3" fillId="0" borderId="1" xfId="0" applyFont="1" applyBorder="1" applyAlignment="1">
      <alignment horizontal="center"/>
    </xf>
    <xf numFmtId="0" fontId="9" fillId="0" borderId="0" xfId="0" quotePrefix="1" applyFont="1" applyAlignment="1">
      <alignment horizontal="left"/>
    </xf>
    <xf numFmtId="0" fontId="5" fillId="0" borderId="1" xfId="0" applyFont="1" applyFill="1" applyBorder="1" applyAlignment="1">
      <alignment vertical="center" wrapText="1"/>
    </xf>
    <xf numFmtId="0" fontId="5" fillId="5" borderId="1" xfId="0" applyFont="1" applyFill="1" applyBorder="1" applyAlignment="1" applyProtection="1">
      <alignment vertical="center" wrapText="1"/>
      <protection locked="0"/>
    </xf>
    <xf numFmtId="0" fontId="9" fillId="0" borderId="0" xfId="0" quotePrefix="1" applyFont="1" applyAlignment="1">
      <alignment horizontal="left" wrapText="1"/>
    </xf>
    <xf numFmtId="0" fontId="0" fillId="0" borderId="0" xfId="0" applyAlignment="1">
      <alignment horizontal="left"/>
    </xf>
    <xf numFmtId="0" fontId="0" fillId="0" borderId="21" xfId="0" applyBorder="1"/>
    <xf numFmtId="0" fontId="0" fillId="0" borderId="21" xfId="0" quotePrefix="1" applyBorder="1" applyAlignment="1">
      <alignment horizontal="right"/>
    </xf>
    <xf numFmtId="0" fontId="10" fillId="0" borderId="21" xfId="0" quotePrefix="1" applyFont="1" applyBorder="1" applyAlignment="1">
      <alignment horizontal="right"/>
    </xf>
    <xf numFmtId="0" fontId="0" fillId="0" borderId="22" xfId="0" applyBorder="1"/>
    <xf numFmtId="0" fontId="0" fillId="4" borderId="1" xfId="0" applyFill="1" applyBorder="1" applyProtection="1">
      <protection locked="0"/>
    </xf>
    <xf numFmtId="0" fontId="3" fillId="0" borderId="0" xfId="0" applyFont="1" applyAlignment="1">
      <alignment horizontal="left"/>
    </xf>
    <xf numFmtId="0" fontId="10" fillId="0" borderId="0" xfId="0" quotePrefix="1" applyFont="1" applyBorder="1" applyAlignment="1">
      <alignment horizontal="right"/>
    </xf>
    <xf numFmtId="0" fontId="0" fillId="0" borderId="0" xfId="0" quotePrefix="1" applyAlignment="1">
      <alignment horizontal="left"/>
    </xf>
    <xf numFmtId="0" fontId="8" fillId="0" borderId="0" xfId="0" applyFont="1" applyAlignment="1">
      <alignment horizontal="left"/>
    </xf>
    <xf numFmtId="0" fontId="11" fillId="0" borderId="0" xfId="0" applyFont="1" applyAlignment="1">
      <alignment horizontal="center" vertical="center"/>
    </xf>
    <xf numFmtId="0" fontId="11" fillId="0" borderId="1" xfId="0" applyFont="1" applyBorder="1" applyAlignment="1">
      <alignment horizontal="right" vertical="center"/>
    </xf>
    <xf numFmtId="0" fontId="11" fillId="0" borderId="1" xfId="0" applyFont="1" applyBorder="1" applyAlignment="1">
      <alignment horizontal="center" vertical="center"/>
    </xf>
    <xf numFmtId="0" fontId="11" fillId="0" borderId="0" xfId="0" applyFont="1" applyBorder="1" applyAlignment="1">
      <alignment horizontal="right" vertical="center"/>
    </xf>
    <xf numFmtId="0" fontId="11" fillId="0" borderId="0" xfId="0" applyFont="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25" xfId="0" applyFont="1" applyBorder="1" applyAlignment="1">
      <alignment horizontal="center" vertical="center"/>
    </xf>
    <xf numFmtId="0" fontId="11" fillId="0" borderId="15" xfId="0" applyFont="1" applyBorder="1" applyAlignment="1">
      <alignment horizontal="center" vertical="center"/>
    </xf>
    <xf numFmtId="0" fontId="11" fillId="0" borderId="17" xfId="0" applyFont="1" applyBorder="1" applyAlignment="1">
      <alignment horizontal="center"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30" xfId="0" applyFont="1" applyBorder="1" applyAlignment="1">
      <alignment horizontal="center" vertical="center"/>
    </xf>
    <xf numFmtId="0" fontId="11" fillId="0" borderId="31" xfId="0" applyFont="1" applyBorder="1" applyAlignment="1">
      <alignment horizontal="center" vertical="center"/>
    </xf>
    <xf numFmtId="0" fontId="16" fillId="0" borderId="0" xfId="0" applyFont="1"/>
    <xf numFmtId="0" fontId="17" fillId="0" borderId="0" xfId="0" applyFont="1" applyFill="1" applyAlignment="1">
      <alignment horizontal="center"/>
    </xf>
    <xf numFmtId="0" fontId="18" fillId="0" borderId="32" xfId="0" applyFont="1" applyBorder="1" applyAlignment="1">
      <alignment horizontal="left" vertical="center"/>
    </xf>
    <xf numFmtId="0" fontId="18" fillId="0" borderId="32" xfId="0" applyFont="1" applyBorder="1" applyAlignment="1">
      <alignment horizontal="center" vertical="top" wrapText="1"/>
    </xf>
    <xf numFmtId="0" fontId="18" fillId="7" borderId="32" xfId="0" applyFont="1" applyFill="1" applyBorder="1" applyAlignment="1">
      <alignment horizontal="center" vertical="top" wrapText="1"/>
    </xf>
    <xf numFmtId="0" fontId="19" fillId="0" borderId="0" xfId="0" applyFont="1" applyAlignment="1">
      <alignment horizontal="left" vertical="center"/>
    </xf>
    <xf numFmtId="0" fontId="20" fillId="0" borderId="0" xfId="0" applyFont="1" applyAlignment="1">
      <alignment horizontal="center" vertical="top" wrapText="1"/>
    </xf>
    <xf numFmtId="0" fontId="20" fillId="7" borderId="0" xfId="0" applyFont="1" applyFill="1" applyAlignment="1">
      <alignment horizontal="center"/>
    </xf>
    <xf numFmtId="0" fontId="19" fillId="0" borderId="19" xfId="0" applyFont="1" applyBorder="1" applyAlignment="1">
      <alignment horizontal="left" vertical="center"/>
    </xf>
    <xf numFmtId="0" fontId="20" fillId="0" borderId="19" xfId="0" applyFont="1" applyBorder="1" applyAlignment="1">
      <alignment horizontal="center" vertical="top" wrapText="1"/>
    </xf>
    <xf numFmtId="0" fontId="20" fillId="7" borderId="0" xfId="0" applyFont="1" applyFill="1" applyBorder="1" applyAlignment="1">
      <alignment horizontal="center"/>
    </xf>
    <xf numFmtId="0" fontId="19" fillId="0" borderId="0" xfId="0" applyFont="1" applyBorder="1" applyAlignment="1">
      <alignment horizontal="left" vertical="center"/>
    </xf>
    <xf numFmtId="0" fontId="20" fillId="0" borderId="0" xfId="0" applyFont="1" applyBorder="1" applyAlignment="1">
      <alignment horizontal="center" vertical="top" wrapText="1"/>
    </xf>
    <xf numFmtId="0" fontId="19" fillId="0" borderId="16" xfId="0" applyFont="1" applyBorder="1" applyAlignment="1">
      <alignment horizontal="left" vertical="center"/>
    </xf>
    <xf numFmtId="0" fontId="20" fillId="0" borderId="16" xfId="0" applyFont="1" applyBorder="1" applyAlignment="1">
      <alignment horizontal="center" vertical="top" wrapText="1"/>
    </xf>
    <xf numFmtId="0" fontId="20" fillId="7" borderId="16" xfId="0" applyFont="1" applyFill="1" applyBorder="1" applyAlignment="1">
      <alignment horizontal="center"/>
    </xf>
    <xf numFmtId="0" fontId="19" fillId="0" borderId="33" xfId="0" applyFont="1" applyBorder="1" applyAlignment="1">
      <alignment horizontal="left" vertical="center"/>
    </xf>
    <xf numFmtId="0" fontId="20" fillId="0" borderId="33" xfId="0" applyFont="1" applyBorder="1" applyAlignment="1">
      <alignment horizontal="center" vertical="top" wrapText="1"/>
    </xf>
    <xf numFmtId="0" fontId="20" fillId="7" borderId="34" xfId="0" applyFont="1" applyFill="1" applyBorder="1" applyAlignment="1">
      <alignment horizontal="center"/>
    </xf>
    <xf numFmtId="0" fontId="16" fillId="0" borderId="0" xfId="0" applyFont="1" applyAlignment="1">
      <alignment horizontal="left" vertical="center"/>
    </xf>
    <xf numFmtId="0" fontId="16" fillId="0" borderId="0" xfId="0" applyFont="1" applyAlignment="1">
      <alignment horizontal="center" vertical="top" wrapText="1"/>
    </xf>
    <xf numFmtId="0" fontId="16" fillId="0" borderId="0" xfId="0" applyFont="1" applyAlignment="1">
      <alignment horizontal="center"/>
    </xf>
    <xf numFmtId="0" fontId="22" fillId="0" borderId="0" xfId="0" applyFont="1"/>
    <xf numFmtId="166" fontId="0" fillId="0" borderId="1" xfId="0" applyNumberFormat="1" applyBorder="1"/>
    <xf numFmtId="0" fontId="22" fillId="0" borderId="35" xfId="0" applyFont="1" applyBorder="1"/>
    <xf numFmtId="167" fontId="22" fillId="0" borderId="36" xfId="0" applyNumberFormat="1" applyFont="1" applyBorder="1"/>
    <xf numFmtId="9" fontId="22" fillId="0" borderId="36" xfId="0" applyNumberFormat="1" applyFont="1" applyBorder="1"/>
    <xf numFmtId="0" fontId="22" fillId="2" borderId="2" xfId="0" applyFont="1" applyFill="1" applyBorder="1"/>
    <xf numFmtId="0" fontId="22" fillId="2" borderId="3" xfId="0" applyFont="1" applyFill="1" applyBorder="1"/>
    <xf numFmtId="0" fontId="22" fillId="2" borderId="4" xfId="0" applyFont="1" applyFill="1" applyBorder="1"/>
    <xf numFmtId="10" fontId="0" fillId="0" borderId="3" xfId="0" applyNumberFormat="1" applyBorder="1"/>
    <xf numFmtId="10" fontId="0" fillId="0" borderId="1" xfId="0" applyNumberFormat="1" applyBorder="1"/>
    <xf numFmtId="10" fontId="0" fillId="0" borderId="8" xfId="0" applyNumberFormat="1" applyBorder="1"/>
    <xf numFmtId="0" fontId="24" fillId="0" borderId="0" xfId="0" applyFont="1" applyAlignment="1">
      <alignment horizontal="center"/>
    </xf>
    <xf numFmtId="0" fontId="24" fillId="0" borderId="0" xfId="0" applyFont="1"/>
    <xf numFmtId="0" fontId="24" fillId="0" borderId="0" xfId="0" applyFont="1" applyAlignment="1">
      <alignment horizontal="centerContinuous"/>
    </xf>
    <xf numFmtId="0" fontId="2" fillId="0" borderId="0" xfId="0" applyFont="1" applyFill="1" applyAlignment="1">
      <alignment horizontal="left"/>
    </xf>
    <xf numFmtId="0" fontId="24" fillId="0" borderId="0" xfId="0" applyFont="1" applyBorder="1"/>
    <xf numFmtId="0" fontId="24" fillId="0" borderId="0" xfId="0" applyFont="1" applyFill="1" applyBorder="1" applyAlignment="1">
      <alignment horizontal="left" vertical="center"/>
    </xf>
    <xf numFmtId="0" fontId="24" fillId="0" borderId="0" xfId="0" applyFont="1" applyFill="1" applyBorder="1" applyAlignment="1">
      <alignment horizontal="centerContinuous" vertical="center"/>
    </xf>
    <xf numFmtId="0" fontId="24" fillId="0" borderId="0" xfId="0" applyFont="1" applyFill="1" applyBorder="1" applyAlignment="1">
      <alignment vertical="center"/>
    </xf>
    <xf numFmtId="0" fontId="24" fillId="0" borderId="0" xfId="0" applyFont="1" applyFill="1" applyBorder="1"/>
    <xf numFmtId="0" fontId="25" fillId="0" borderId="0" xfId="0" applyFont="1" applyFill="1" applyBorder="1" applyAlignment="1" applyProtection="1">
      <alignment horizontal="left"/>
    </xf>
    <xf numFmtId="0" fontId="26" fillId="0" borderId="0" xfId="0" applyFont="1" applyFill="1" applyAlignment="1">
      <alignment horizontal="left"/>
    </xf>
    <xf numFmtId="0" fontId="27" fillId="0" borderId="0" xfId="0" applyFont="1" applyBorder="1"/>
    <xf numFmtId="0" fontId="25" fillId="0" borderId="0" xfId="0" applyFont="1" applyFill="1" applyAlignment="1" applyProtection="1">
      <alignment horizontal="left"/>
    </xf>
    <xf numFmtId="0" fontId="24" fillId="0" borderId="0" xfId="0" applyFont="1" applyAlignment="1">
      <alignment horizontal="center" vertical="center"/>
    </xf>
    <xf numFmtId="0" fontId="24" fillId="0" borderId="37" xfId="0" applyFont="1" applyBorder="1" applyAlignment="1">
      <alignment horizontal="right" vertical="center"/>
    </xf>
    <xf numFmtId="0" fontId="24" fillId="0" borderId="38" xfId="0" applyFont="1" applyBorder="1" applyAlignment="1">
      <alignment vertical="center"/>
    </xf>
    <xf numFmtId="0" fontId="24" fillId="0" borderId="39" xfId="0" applyFont="1" applyBorder="1" applyAlignment="1">
      <alignment vertical="center"/>
    </xf>
    <xf numFmtId="0" fontId="27" fillId="0" borderId="0" xfId="0" quotePrefix="1" applyFont="1" applyFill="1" applyBorder="1" applyAlignment="1" applyProtection="1">
      <alignment horizontal="center" vertical="center"/>
      <protection locked="0"/>
    </xf>
    <xf numFmtId="0" fontId="27" fillId="0" borderId="0" xfId="0" applyFont="1" applyFill="1" applyBorder="1" applyAlignment="1" applyProtection="1">
      <alignment horizontal="center" vertical="center"/>
      <protection locked="0"/>
    </xf>
    <xf numFmtId="0" fontId="24" fillId="0" borderId="10" xfId="0" applyFont="1" applyFill="1" applyBorder="1" applyAlignment="1">
      <alignment horizontal="centerContinuous"/>
    </xf>
    <xf numFmtId="0" fontId="24" fillId="0" borderId="11" xfId="0" applyFont="1" applyFill="1" applyBorder="1" applyAlignment="1">
      <alignment horizontal="centerContinuous" vertical="center"/>
    </xf>
    <xf numFmtId="0" fontId="26" fillId="0" borderId="12" xfId="0" applyFont="1" applyFill="1" applyBorder="1" applyAlignment="1">
      <alignment horizontal="right" vertical="center"/>
    </xf>
    <xf numFmtId="0" fontId="28" fillId="8" borderId="10" xfId="0" applyFont="1" applyFill="1" applyBorder="1" applyAlignment="1" applyProtection="1">
      <alignment vertical="center"/>
      <protection locked="0"/>
    </xf>
    <xf numFmtId="0" fontId="26" fillId="8" borderId="11" xfId="0" applyFont="1" applyFill="1" applyBorder="1" applyAlignment="1" applyProtection="1">
      <alignment horizontal="centerContinuous" vertical="center"/>
      <protection locked="0"/>
    </xf>
    <xf numFmtId="0" fontId="24" fillId="8" borderId="11" xfId="0" applyFont="1" applyFill="1" applyBorder="1" applyAlignment="1" applyProtection="1">
      <alignment horizontal="centerContinuous" vertical="center"/>
      <protection locked="0"/>
    </xf>
    <xf numFmtId="0" fontId="24" fillId="8" borderId="12" xfId="0" applyFont="1" applyFill="1" applyBorder="1" applyAlignment="1" applyProtection="1">
      <alignment horizontal="centerContinuous" vertical="center"/>
      <protection locked="0"/>
    </xf>
    <xf numFmtId="0" fontId="24" fillId="0" borderId="0" xfId="0" applyFont="1" applyBorder="1" applyAlignment="1" applyProtection="1">
      <alignment vertical="center"/>
    </xf>
    <xf numFmtId="0" fontId="24" fillId="0" borderId="0" xfId="0" applyFont="1" applyAlignment="1">
      <alignment vertical="center"/>
    </xf>
    <xf numFmtId="0" fontId="24" fillId="0" borderId="0" xfId="0" applyFont="1" applyBorder="1" applyAlignment="1">
      <alignment vertical="center"/>
    </xf>
    <xf numFmtId="0" fontId="29" fillId="0" borderId="0" xfId="3" applyFont="1" applyAlignment="1" applyProtection="1">
      <alignment vertical="center"/>
    </xf>
    <xf numFmtId="0" fontId="24" fillId="0" borderId="0" xfId="0" applyFont="1" applyAlignment="1">
      <alignment horizontal="centerContinuous" vertical="center"/>
    </xf>
    <xf numFmtId="0" fontId="24" fillId="0" borderId="40" xfId="0" applyFont="1" applyBorder="1" applyAlignment="1">
      <alignment horizontal="right" vertical="center"/>
    </xf>
    <xf numFmtId="0" fontId="24" fillId="0" borderId="19" xfId="0" applyFont="1" applyBorder="1" applyAlignment="1">
      <alignment vertical="center"/>
    </xf>
    <xf numFmtId="0" fontId="24" fillId="0" borderId="41" xfId="0" applyFont="1" applyBorder="1" applyAlignment="1">
      <alignment vertical="center"/>
    </xf>
    <xf numFmtId="0" fontId="27" fillId="8" borderId="20" xfId="0" applyFont="1" applyFill="1" applyBorder="1" applyAlignment="1" applyProtection="1">
      <alignment horizontal="center" vertical="center"/>
      <protection locked="0"/>
    </xf>
    <xf numFmtId="0" fontId="24" fillId="0" borderId="15" xfId="0" applyFont="1" applyFill="1" applyBorder="1" applyAlignment="1">
      <alignment horizontal="centerContinuous"/>
    </xf>
    <xf numFmtId="0" fontId="24" fillId="0" borderId="16" xfId="0" applyFont="1" applyFill="1" applyBorder="1" applyAlignment="1">
      <alignment horizontal="centerContinuous" vertical="center"/>
    </xf>
    <xf numFmtId="0" fontId="26" fillId="0" borderId="17" xfId="0" applyFont="1" applyFill="1" applyBorder="1" applyAlignment="1">
      <alignment horizontal="right" vertical="center"/>
    </xf>
    <xf numFmtId="49" fontId="27" fillId="8" borderId="15" xfId="0" applyNumberFormat="1" applyFont="1" applyFill="1" applyBorder="1" applyAlignment="1" applyProtection="1">
      <alignment horizontal="left" vertical="center"/>
      <protection locked="0"/>
    </xf>
    <xf numFmtId="0" fontId="24" fillId="8" borderId="16" xfId="0" applyFont="1" applyFill="1" applyBorder="1" applyAlignment="1" applyProtection="1">
      <alignment horizontal="centerContinuous" vertical="center"/>
      <protection locked="0"/>
    </xf>
    <xf numFmtId="0" fontId="24" fillId="8" borderId="17" xfId="0" applyFont="1" applyFill="1" applyBorder="1" applyAlignment="1" applyProtection="1">
      <alignment horizontal="centerContinuous" vertical="center"/>
      <protection locked="0"/>
    </xf>
    <xf numFmtId="0" fontId="24" fillId="0" borderId="0" xfId="0" quotePrefix="1" applyFont="1" applyBorder="1" applyAlignment="1" applyProtection="1">
      <alignment horizontal="center" vertical="center"/>
    </xf>
    <xf numFmtId="0" fontId="24" fillId="0" borderId="42" xfId="0" applyFont="1" applyBorder="1" applyAlignment="1">
      <alignment horizontal="right" vertical="center"/>
    </xf>
    <xf numFmtId="0" fontId="24" fillId="0" borderId="22" xfId="0" applyFont="1" applyBorder="1" applyAlignment="1">
      <alignment vertical="center"/>
    </xf>
    <xf numFmtId="0" fontId="24" fillId="0" borderId="43" xfId="0" applyFont="1" applyBorder="1" applyAlignment="1">
      <alignment vertical="center"/>
    </xf>
    <xf numFmtId="0" fontId="27" fillId="8" borderId="1" xfId="0" quotePrefix="1" applyFont="1" applyFill="1" applyBorder="1" applyAlignment="1" applyProtection="1">
      <alignment horizontal="center" vertical="center"/>
      <protection locked="0"/>
    </xf>
    <xf numFmtId="0" fontId="27" fillId="0" borderId="44" xfId="0" applyFont="1" applyFill="1" applyBorder="1" applyAlignment="1" applyProtection="1">
      <alignment horizontal="center" vertical="center"/>
      <protection locked="0"/>
    </xf>
    <xf numFmtId="0" fontId="24" fillId="8" borderId="44" xfId="0" applyFont="1" applyFill="1" applyBorder="1" applyAlignment="1">
      <alignment horizontal="left" vertical="center"/>
    </xf>
    <xf numFmtId="0" fontId="24" fillId="8" borderId="22" xfId="0" applyFont="1" applyFill="1" applyBorder="1" applyAlignment="1">
      <alignment horizontal="centerContinuous" vertical="center"/>
    </xf>
    <xf numFmtId="0" fontId="24" fillId="8" borderId="22" xfId="0" applyFont="1" applyFill="1" applyBorder="1" applyAlignment="1">
      <alignment vertical="center"/>
    </xf>
    <xf numFmtId="0" fontId="24" fillId="8" borderId="45" xfId="0" applyFont="1" applyFill="1" applyBorder="1"/>
    <xf numFmtId="0" fontId="29" fillId="0" borderId="0" xfId="3" applyFont="1" applyFill="1" applyBorder="1" applyAlignment="1" applyProtection="1">
      <alignment horizontal="left"/>
    </xf>
    <xf numFmtId="0" fontId="27" fillId="8" borderId="1" xfId="0" applyFont="1" applyFill="1" applyBorder="1" applyAlignment="1" applyProtection="1">
      <alignment horizontal="center" vertical="center"/>
      <protection locked="0"/>
    </xf>
    <xf numFmtId="0" fontId="24" fillId="0" borderId="0" xfId="0" quotePrefix="1" applyFont="1" applyBorder="1" applyAlignment="1">
      <alignment horizontal="center" vertical="center"/>
    </xf>
    <xf numFmtId="0" fontId="9" fillId="0" borderId="0" xfId="0" applyFont="1" applyBorder="1" applyAlignment="1">
      <alignment vertical="center"/>
    </xf>
    <xf numFmtId="0" fontId="27" fillId="8" borderId="20" xfId="0" quotePrefix="1" applyFont="1" applyFill="1" applyBorder="1" applyAlignment="1" applyProtection="1">
      <alignment horizontal="center" vertical="center"/>
      <protection locked="0"/>
    </xf>
    <xf numFmtId="0" fontId="28" fillId="0" borderId="0" xfId="0"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protection locked="0"/>
    </xf>
    <xf numFmtId="0" fontId="27" fillId="0" borderId="44" xfId="0" quotePrefix="1" applyFont="1" applyFill="1" applyBorder="1" applyAlignment="1" applyProtection="1">
      <alignment horizontal="center" vertical="center"/>
      <protection locked="0"/>
    </xf>
    <xf numFmtId="0" fontId="26" fillId="0" borderId="37" xfId="0" applyFont="1" applyBorder="1" applyAlignment="1">
      <alignment horizontal="center" vertical="center"/>
    </xf>
    <xf numFmtId="0" fontId="24" fillId="8" borderId="47" xfId="0" applyFont="1" applyFill="1" applyBorder="1" applyAlignment="1" applyProtection="1">
      <alignment vertical="center"/>
      <protection locked="0"/>
    </xf>
    <xf numFmtId="0" fontId="24" fillId="8" borderId="38" xfId="0" applyFont="1" applyFill="1" applyBorder="1" applyAlignment="1" applyProtection="1">
      <alignment vertical="center"/>
      <protection locked="0"/>
    </xf>
    <xf numFmtId="0" fontId="24" fillId="8" borderId="39" xfId="0" applyFont="1" applyFill="1" applyBorder="1" applyAlignment="1" applyProtection="1">
      <alignment vertical="center"/>
      <protection locked="0"/>
    </xf>
    <xf numFmtId="0" fontId="26" fillId="0" borderId="40" xfId="0" applyFont="1" applyBorder="1" applyAlignment="1">
      <alignment horizontal="center" vertical="center"/>
    </xf>
    <xf numFmtId="0" fontId="24" fillId="8" borderId="18" xfId="0" applyFont="1" applyFill="1" applyBorder="1" applyAlignment="1" applyProtection="1">
      <alignment vertical="center"/>
      <protection locked="0"/>
    </xf>
    <xf numFmtId="0" fontId="24" fillId="8" borderId="19" xfId="0" applyFont="1" applyFill="1" applyBorder="1" applyAlignment="1" applyProtection="1">
      <alignment vertical="center"/>
      <protection locked="0"/>
    </xf>
    <xf numFmtId="0" fontId="24" fillId="8" borderId="41" xfId="0" applyFont="1" applyFill="1" applyBorder="1" applyAlignment="1" applyProtection="1">
      <alignment vertical="center"/>
      <protection locked="0"/>
    </xf>
    <xf numFmtId="0" fontId="26" fillId="0" borderId="15" xfId="0" applyFont="1" applyBorder="1" applyAlignment="1">
      <alignment horizontal="center" vertical="center"/>
    </xf>
    <xf numFmtId="0" fontId="24" fillId="8" borderId="48" xfId="0" applyFont="1" applyFill="1" applyBorder="1" applyAlignment="1" applyProtection="1">
      <alignment vertical="center"/>
      <protection locked="0"/>
    </xf>
    <xf numFmtId="0" fontId="24" fillId="8" borderId="16" xfId="0" applyFont="1" applyFill="1" applyBorder="1" applyAlignment="1" applyProtection="1">
      <alignment vertical="center"/>
      <protection locked="0"/>
    </xf>
    <xf numFmtId="0" fontId="24" fillId="8" borderId="17" xfId="0" applyFont="1" applyFill="1" applyBorder="1" applyAlignment="1" applyProtection="1">
      <alignment vertical="center"/>
      <protection locked="0"/>
    </xf>
    <xf numFmtId="0" fontId="24" fillId="0" borderId="15" xfId="0" applyFont="1" applyBorder="1" applyAlignment="1">
      <alignment horizontal="right" vertical="center"/>
    </xf>
    <xf numFmtId="0" fontId="24" fillId="0" borderId="16" xfId="0" applyFont="1" applyBorder="1" applyAlignment="1">
      <alignment vertical="center"/>
    </xf>
    <xf numFmtId="0" fontId="24" fillId="0" borderId="17" xfId="0" applyFont="1" applyBorder="1" applyAlignment="1">
      <alignment vertical="center"/>
    </xf>
    <xf numFmtId="0" fontId="27" fillId="8" borderId="49" xfId="0" quotePrefix="1" applyFont="1" applyFill="1" applyBorder="1" applyAlignment="1" applyProtection="1">
      <alignment horizontal="center" vertical="center"/>
      <protection locked="0"/>
    </xf>
    <xf numFmtId="0" fontId="27" fillId="8" borderId="50" xfId="0" quotePrefix="1" applyFont="1" applyFill="1" applyBorder="1" applyAlignment="1" applyProtection="1">
      <alignment horizontal="center" vertical="center"/>
      <protection locked="0"/>
    </xf>
    <xf numFmtId="0" fontId="27" fillId="8" borderId="8" xfId="0" quotePrefix="1" applyFont="1" applyFill="1" applyBorder="1" applyAlignment="1" applyProtection="1">
      <alignment horizontal="center" vertical="center"/>
      <protection locked="0"/>
    </xf>
    <xf numFmtId="0" fontId="26" fillId="0" borderId="2" xfId="0" applyFont="1" applyBorder="1" applyAlignment="1">
      <alignment horizontal="centerContinuous"/>
    </xf>
    <xf numFmtId="0" fontId="26" fillId="0" borderId="3" xfId="0" applyFont="1" applyBorder="1" applyAlignment="1">
      <alignment horizontal="centerContinuous"/>
    </xf>
    <xf numFmtId="0" fontId="26" fillId="0" borderId="4" xfId="0" applyFont="1" applyBorder="1" applyAlignment="1">
      <alignment horizontal="centerContinuous"/>
    </xf>
    <xf numFmtId="0" fontId="26" fillId="0" borderId="35" xfId="0" applyFont="1" applyBorder="1" applyAlignment="1">
      <alignment horizontal="centerContinuous"/>
    </xf>
    <xf numFmtId="0" fontId="26" fillId="0" borderId="46" xfId="0" applyFont="1" applyBorder="1" applyAlignment="1">
      <alignment horizontal="centerContinuous"/>
    </xf>
    <xf numFmtId="0" fontId="26" fillId="0" borderId="36" xfId="0" applyFont="1" applyBorder="1" applyAlignment="1">
      <alignment horizontal="centerContinuous"/>
    </xf>
    <xf numFmtId="0" fontId="26" fillId="0" borderId="2" xfId="0" applyFont="1" applyBorder="1" applyAlignment="1">
      <alignment horizontal="right"/>
    </xf>
    <xf numFmtId="0" fontId="26" fillId="0" borderId="3" xfId="0" applyFont="1" applyBorder="1" applyAlignment="1">
      <alignment horizontal="center" textRotation="90"/>
    </xf>
    <xf numFmtId="0" fontId="26" fillId="0" borderId="4" xfId="0" applyFont="1" applyBorder="1" applyAlignment="1">
      <alignment horizontal="center" textRotation="90"/>
    </xf>
    <xf numFmtId="0" fontId="24" fillId="8" borderId="51" xfId="0" applyFont="1" applyFill="1" applyBorder="1" applyAlignment="1" applyProtection="1">
      <alignment textRotation="90"/>
      <protection locked="0"/>
    </xf>
    <xf numFmtId="0" fontId="24" fillId="8" borderId="52" xfId="0" applyFont="1" applyFill="1" applyBorder="1" applyAlignment="1" applyProtection="1">
      <alignment textRotation="90"/>
      <protection locked="0"/>
    </xf>
    <xf numFmtId="0" fontId="24" fillId="8" borderId="53" xfId="0" applyFont="1" applyFill="1" applyBorder="1" applyAlignment="1" applyProtection="1">
      <alignment textRotation="90"/>
      <protection locked="0"/>
    </xf>
    <xf numFmtId="0" fontId="31" fillId="0" borderId="15" xfId="0" applyFont="1" applyBorder="1" applyAlignment="1">
      <alignment horizontal="center" textRotation="90"/>
    </xf>
    <xf numFmtId="0" fontId="31" fillId="0" borderId="16" xfId="0" applyFont="1" applyBorder="1" applyAlignment="1">
      <alignment horizontal="center" textRotation="90"/>
    </xf>
    <xf numFmtId="0" fontId="31" fillId="0" borderId="17" xfId="0" applyFont="1" applyBorder="1" applyAlignment="1">
      <alignment horizontal="center" textRotation="90"/>
    </xf>
    <xf numFmtId="0" fontId="24" fillId="8" borderId="5" xfId="0" applyFont="1" applyFill="1" applyBorder="1" applyAlignment="1" applyProtection="1">
      <alignment horizontal="right" vertical="center"/>
      <protection locked="0"/>
    </xf>
    <xf numFmtId="0" fontId="24" fillId="8" borderId="1" xfId="0" applyNumberFormat="1" applyFont="1" applyFill="1" applyBorder="1" applyAlignment="1" applyProtection="1">
      <alignment horizontal="center" vertical="center"/>
      <protection locked="0"/>
    </xf>
    <xf numFmtId="0" fontId="24" fillId="8" borderId="6" xfId="0" applyNumberFormat="1" applyFont="1" applyFill="1" applyBorder="1" applyAlignment="1" applyProtection="1">
      <alignment horizontal="center" vertical="center"/>
      <protection locked="0"/>
    </xf>
    <xf numFmtId="0" fontId="24" fillId="8" borderId="38" xfId="0" applyFont="1" applyFill="1" applyBorder="1" applyAlignment="1" applyProtection="1">
      <alignment horizontal="center" vertical="center"/>
      <protection locked="0"/>
    </xf>
    <xf numFmtId="0" fontId="24" fillId="8" borderId="3" xfId="0" applyFont="1" applyFill="1" applyBorder="1" applyAlignment="1" applyProtection="1">
      <alignment horizontal="center" vertical="center"/>
      <protection locked="0"/>
    </xf>
    <xf numFmtId="0" fontId="24" fillId="8" borderId="54" xfId="0" applyFont="1" applyFill="1" applyBorder="1" applyAlignment="1" applyProtection="1">
      <alignment horizontal="center" vertical="center"/>
      <protection locked="0"/>
    </xf>
    <xf numFmtId="0" fontId="24" fillId="8" borderId="39" xfId="0" applyFont="1" applyFill="1" applyBorder="1" applyAlignment="1" applyProtection="1">
      <alignment horizontal="center" vertical="center"/>
      <protection locked="0"/>
    </xf>
    <xf numFmtId="0" fontId="24" fillId="8" borderId="37" xfId="0" applyFont="1" applyFill="1" applyBorder="1" applyAlignment="1" applyProtection="1">
      <alignment horizontal="center" vertical="center"/>
      <protection locked="0"/>
    </xf>
    <xf numFmtId="0" fontId="24" fillId="8" borderId="19" xfId="0" applyFont="1" applyFill="1" applyBorder="1" applyAlignment="1" applyProtection="1">
      <alignment horizontal="center" vertical="center"/>
      <protection locked="0"/>
    </xf>
    <xf numFmtId="0" fontId="24" fillId="8" borderId="1" xfId="0" applyFont="1" applyFill="1" applyBorder="1" applyAlignment="1" applyProtection="1">
      <alignment horizontal="center" vertical="center"/>
      <protection locked="0"/>
    </xf>
    <xf numFmtId="0" fontId="24" fillId="8" borderId="20" xfId="0" applyFont="1" applyFill="1" applyBorder="1" applyAlignment="1" applyProtection="1">
      <alignment horizontal="center" vertical="center"/>
      <protection locked="0"/>
    </xf>
    <xf numFmtId="0" fontId="24" fillId="8" borderId="41" xfId="0" applyFont="1" applyFill="1" applyBorder="1" applyAlignment="1" applyProtection="1">
      <alignment horizontal="center" vertical="center"/>
      <protection locked="0"/>
    </xf>
    <xf numFmtId="0" fontId="24" fillId="8" borderId="42" xfId="0" applyFont="1" applyFill="1" applyBorder="1" applyAlignment="1" applyProtection="1">
      <alignment horizontal="center" vertical="center"/>
      <protection locked="0"/>
    </xf>
    <xf numFmtId="0" fontId="24" fillId="8" borderId="22" xfId="0" applyFont="1" applyFill="1" applyBorder="1" applyAlignment="1" applyProtection="1">
      <alignment horizontal="center" vertical="center"/>
      <protection locked="0"/>
    </xf>
    <xf numFmtId="0" fontId="24" fillId="8" borderId="43" xfId="0" applyFont="1" applyFill="1" applyBorder="1" applyAlignment="1" applyProtection="1">
      <alignment horizontal="center" vertical="center"/>
      <protection locked="0"/>
    </xf>
    <xf numFmtId="0" fontId="24" fillId="8" borderId="7" xfId="0" applyFont="1" applyFill="1" applyBorder="1" applyAlignment="1" applyProtection="1">
      <alignment horizontal="right" vertical="center"/>
      <protection locked="0"/>
    </xf>
    <xf numFmtId="0" fontId="24" fillId="8" borderId="8" xfId="0" applyNumberFormat="1" applyFont="1" applyFill="1" applyBorder="1" applyAlignment="1" applyProtection="1">
      <alignment horizontal="center" vertical="center"/>
      <protection locked="0"/>
    </xf>
    <xf numFmtId="0" fontId="24" fillId="8" borderId="9" xfId="0" applyNumberFormat="1" applyFont="1" applyFill="1" applyBorder="1" applyAlignment="1" applyProtection="1">
      <alignment horizontal="center" vertical="center"/>
      <protection locked="0"/>
    </xf>
    <xf numFmtId="0" fontId="24" fillId="8" borderId="55" xfId="0" applyFont="1" applyFill="1" applyBorder="1" applyAlignment="1" applyProtection="1">
      <alignment horizontal="center" vertical="center"/>
      <protection locked="0"/>
    </xf>
    <xf numFmtId="0" fontId="24" fillId="8" borderId="8" xfId="0" applyFont="1" applyFill="1" applyBorder="1" applyAlignment="1" applyProtection="1">
      <alignment horizontal="center" vertical="center"/>
      <protection locked="0"/>
    </xf>
    <xf numFmtId="0" fontId="24" fillId="8" borderId="56" xfId="0" applyFont="1" applyFill="1" applyBorder="1" applyAlignment="1" applyProtection="1">
      <alignment horizontal="center" vertical="center"/>
      <protection locked="0"/>
    </xf>
    <xf numFmtId="0" fontId="24" fillId="8" borderId="57" xfId="0" applyFont="1" applyFill="1" applyBorder="1" applyAlignment="1" applyProtection="1">
      <alignment horizontal="center" vertical="center"/>
      <protection locked="0"/>
    </xf>
    <xf numFmtId="0" fontId="24" fillId="8" borderId="15" xfId="0" applyFont="1" applyFill="1" applyBorder="1" applyAlignment="1" applyProtection="1">
      <alignment horizontal="center" vertical="center"/>
      <protection locked="0"/>
    </xf>
    <xf numFmtId="0" fontId="24" fillId="8" borderId="16" xfId="0" applyFont="1" applyFill="1" applyBorder="1" applyAlignment="1" applyProtection="1">
      <alignment horizontal="center" vertical="center"/>
      <protection locked="0"/>
    </xf>
    <xf numFmtId="0" fontId="24" fillId="8" borderId="17" xfId="0" applyFont="1" applyFill="1" applyBorder="1" applyAlignment="1" applyProtection="1">
      <alignment horizontal="center" vertical="center"/>
      <protection locked="0"/>
    </xf>
    <xf numFmtId="0" fontId="26" fillId="0" borderId="58" xfId="0" applyFont="1" applyBorder="1" applyAlignment="1">
      <alignment horizontal="center" vertical="center"/>
    </xf>
    <xf numFmtId="0" fontId="26" fillId="0" borderId="45" xfId="0" applyFont="1" applyBorder="1" applyAlignment="1">
      <alignment horizontal="center" vertical="center"/>
    </xf>
    <xf numFmtId="0" fontId="24" fillId="0" borderId="3" xfId="0" applyFont="1" applyFill="1" applyBorder="1" applyAlignment="1">
      <alignment vertical="center" textRotation="90"/>
    </xf>
    <xf numFmtId="0" fontId="24" fillId="0" borderId="4" xfId="0" applyFont="1" applyFill="1" applyBorder="1" applyAlignment="1">
      <alignment vertical="center" textRotation="90"/>
    </xf>
    <xf numFmtId="0" fontId="24" fillId="0" borderId="59" xfId="0" applyFont="1" applyFill="1" applyBorder="1" applyAlignment="1">
      <alignment vertical="center" textRotation="90"/>
    </xf>
    <xf numFmtId="0" fontId="24" fillId="0" borderId="60" xfId="0" applyFont="1" applyFill="1" applyBorder="1" applyAlignment="1">
      <alignment vertical="center" textRotation="90"/>
    </xf>
    <xf numFmtId="0" fontId="26" fillId="0" borderId="5" xfId="0" applyFont="1" applyBorder="1" applyAlignment="1">
      <alignment horizontal="center" vertical="center" wrapText="1"/>
    </xf>
    <xf numFmtId="0" fontId="26" fillId="0" borderId="20" xfId="0" applyFont="1" applyBorder="1" applyAlignment="1">
      <alignment horizontal="center" vertical="center" wrapText="1"/>
    </xf>
    <xf numFmtId="9" fontId="32" fillId="0" borderId="1" xfId="2" applyFont="1" applyFill="1" applyBorder="1" applyAlignment="1">
      <alignment vertical="center" textRotation="90"/>
    </xf>
    <xf numFmtId="9" fontId="32" fillId="0" borderId="6" xfId="2" applyFont="1" applyFill="1" applyBorder="1" applyAlignment="1">
      <alignment vertical="center" textRotation="90"/>
    </xf>
    <xf numFmtId="0" fontId="26" fillId="0" borderId="7" xfId="0" applyFont="1" applyBorder="1" applyAlignment="1">
      <alignment horizontal="center" vertical="center"/>
    </xf>
    <xf numFmtId="0" fontId="26" fillId="0" borderId="56" xfId="0" applyFont="1" applyBorder="1" applyAlignment="1">
      <alignment horizontal="center" vertical="center"/>
    </xf>
    <xf numFmtId="38" fontId="33" fillId="0" borderId="8" xfId="1" applyNumberFormat="1" applyFont="1" applyFill="1" applyBorder="1" applyAlignment="1">
      <alignment vertical="center"/>
    </xf>
    <xf numFmtId="38" fontId="33" fillId="0" borderId="9" xfId="1" applyNumberFormat="1" applyFont="1" applyFill="1" applyBorder="1" applyAlignment="1">
      <alignment vertical="center"/>
    </xf>
    <xf numFmtId="0" fontId="24" fillId="0" borderId="2" xfId="0" applyFont="1" applyBorder="1" applyAlignment="1">
      <alignment horizontal="right" vertical="center"/>
    </xf>
    <xf numFmtId="0" fontId="24" fillId="0" borderId="54" xfId="0" applyFont="1" applyBorder="1" applyAlignment="1">
      <alignment horizontal="right" vertical="center"/>
    </xf>
    <xf numFmtId="0" fontId="24" fillId="8" borderId="3" xfId="1" applyNumberFormat="1" applyFont="1" applyFill="1" applyBorder="1" applyAlignment="1" applyProtection="1">
      <alignment horizontal="center" vertical="center"/>
      <protection locked="0"/>
    </xf>
    <xf numFmtId="0" fontId="24" fillId="8" borderId="3" xfId="1" quotePrefix="1" applyNumberFormat="1" applyFont="1" applyFill="1" applyBorder="1" applyAlignment="1" applyProtection="1">
      <alignment horizontal="center" vertical="center"/>
      <protection locked="0"/>
    </xf>
    <xf numFmtId="0" fontId="24" fillId="8" borderId="4" xfId="1" applyNumberFormat="1" applyFont="1" applyFill="1" applyBorder="1" applyAlignment="1" applyProtection="1">
      <alignment horizontal="center" vertical="center"/>
      <protection locked="0"/>
    </xf>
    <xf numFmtId="0" fontId="24" fillId="0" borderId="5" xfId="0" applyFont="1" applyBorder="1" applyAlignment="1">
      <alignment horizontal="right" vertical="center"/>
    </xf>
    <xf numFmtId="0" fontId="24" fillId="0" borderId="20" xfId="0" applyFont="1" applyBorder="1" applyAlignment="1">
      <alignment horizontal="right" vertical="center"/>
    </xf>
    <xf numFmtId="0" fontId="24" fillId="8" borderId="1" xfId="1" applyNumberFormat="1" applyFont="1" applyFill="1" applyBorder="1" applyAlignment="1" applyProtection="1">
      <alignment horizontal="center" vertical="center"/>
      <protection locked="0"/>
    </xf>
    <xf numFmtId="0" fontId="24" fillId="8" borderId="1" xfId="1" quotePrefix="1" applyNumberFormat="1" applyFont="1" applyFill="1" applyBorder="1" applyAlignment="1" applyProtection="1">
      <alignment horizontal="center" vertical="center"/>
      <protection locked="0"/>
    </xf>
    <xf numFmtId="0" fontId="24" fillId="8" borderId="6" xfId="1" applyNumberFormat="1" applyFont="1" applyFill="1" applyBorder="1" applyAlignment="1" applyProtection="1">
      <alignment horizontal="center" vertical="center"/>
      <protection locked="0"/>
    </xf>
    <xf numFmtId="0" fontId="24" fillId="0" borderId="0" xfId="0" applyFont="1" applyFill="1" applyAlignment="1">
      <alignment vertical="center"/>
    </xf>
    <xf numFmtId="0" fontId="24" fillId="0" borderId="64" xfId="0" applyFont="1" applyBorder="1" applyAlignment="1">
      <alignment horizontal="right" vertical="center"/>
    </xf>
    <xf numFmtId="0" fontId="24" fillId="0" borderId="49" xfId="0" applyFont="1" applyBorder="1" applyAlignment="1">
      <alignment horizontal="right" vertical="center"/>
    </xf>
    <xf numFmtId="0" fontId="24" fillId="8" borderId="50" xfId="1" applyNumberFormat="1" applyFont="1" applyFill="1" applyBorder="1" applyAlignment="1" applyProtection="1">
      <alignment horizontal="center" vertical="center"/>
      <protection locked="0"/>
    </xf>
    <xf numFmtId="0" fontId="24" fillId="8" borderId="50" xfId="1" quotePrefix="1" applyNumberFormat="1" applyFont="1" applyFill="1" applyBorder="1" applyAlignment="1" applyProtection="1">
      <alignment horizontal="center" vertical="center"/>
      <protection locked="0"/>
    </xf>
    <xf numFmtId="0" fontId="24" fillId="8" borderId="65" xfId="1" applyNumberFormat="1" applyFont="1" applyFill="1" applyBorder="1" applyAlignment="1" applyProtection="1">
      <alignment horizontal="center" vertical="center"/>
      <protection locked="0"/>
    </xf>
    <xf numFmtId="0" fontId="26" fillId="0" borderId="0" xfId="0" applyFont="1" applyBorder="1" applyAlignment="1">
      <alignment horizontal="center" vertical="center"/>
    </xf>
    <xf numFmtId="0" fontId="26" fillId="0" borderId="66" xfId="0" applyFont="1" applyBorder="1" applyAlignment="1">
      <alignment horizontal="right" vertical="center"/>
    </xf>
    <xf numFmtId="0" fontId="26" fillId="0" borderId="67" xfId="0" applyFont="1" applyBorder="1" applyAlignment="1">
      <alignment horizontal="right" vertical="center"/>
    </xf>
    <xf numFmtId="0" fontId="24" fillId="8" borderId="68" xfId="1" applyNumberFormat="1" applyFont="1" applyFill="1" applyBorder="1" applyAlignment="1" applyProtection="1">
      <alignment horizontal="center" vertical="center"/>
      <protection locked="0"/>
    </xf>
    <xf numFmtId="0" fontId="24" fillId="8" borderId="68" xfId="1" quotePrefix="1" applyNumberFormat="1" applyFont="1" applyFill="1" applyBorder="1" applyAlignment="1" applyProtection="1">
      <alignment horizontal="center" vertical="center"/>
      <protection locked="0"/>
    </xf>
    <xf numFmtId="0" fontId="24" fillId="8" borderId="69" xfId="1" applyNumberFormat="1" applyFont="1" applyFill="1" applyBorder="1" applyAlignment="1" applyProtection="1">
      <alignment horizontal="center" vertical="center"/>
      <protection locked="0"/>
    </xf>
    <xf numFmtId="0" fontId="26" fillId="0" borderId="66" xfId="0" applyFont="1" applyFill="1" applyBorder="1" applyAlignment="1">
      <alignment horizontal="right"/>
    </xf>
    <xf numFmtId="0" fontId="26" fillId="0" borderId="67" xfId="0" applyFont="1" applyFill="1" applyBorder="1" applyAlignment="1">
      <alignment horizontal="right"/>
    </xf>
    <xf numFmtId="0" fontId="24" fillId="8" borderId="68" xfId="0" applyFont="1" applyFill="1" applyBorder="1" applyAlignment="1" applyProtection="1">
      <alignment horizontal="center"/>
      <protection locked="0"/>
    </xf>
    <xf numFmtId="0" fontId="24" fillId="8" borderId="69" xfId="0" applyFont="1" applyFill="1" applyBorder="1" applyAlignment="1" applyProtection="1">
      <alignment horizontal="center"/>
      <protection locked="0"/>
    </xf>
    <xf numFmtId="0" fontId="26" fillId="0" borderId="51" xfId="0" applyFont="1" applyBorder="1" applyAlignment="1">
      <alignment horizontal="right" vertical="center"/>
    </xf>
    <xf numFmtId="38" fontId="24" fillId="8" borderId="52" xfId="1" applyNumberFormat="1" applyFont="1" applyFill="1" applyBorder="1" applyAlignment="1" applyProtection="1">
      <alignment horizontal="center" textRotation="90" wrapText="1"/>
      <protection locked="0"/>
    </xf>
    <xf numFmtId="38" fontId="24" fillId="8" borderId="53" xfId="1" applyNumberFormat="1" applyFont="1" applyFill="1" applyBorder="1" applyAlignment="1" applyProtection="1">
      <alignment horizontal="center" textRotation="90" wrapText="1"/>
      <protection locked="0"/>
    </xf>
    <xf numFmtId="0" fontId="24" fillId="8" borderId="68" xfId="0" applyNumberFormat="1" applyFont="1" applyFill="1" applyBorder="1" applyAlignment="1" applyProtection="1">
      <alignment textRotation="90"/>
      <protection locked="0"/>
    </xf>
    <xf numFmtId="0" fontId="24" fillId="8" borderId="67" xfId="0" applyNumberFormat="1" applyFont="1" applyFill="1" applyBorder="1" applyAlignment="1" applyProtection="1">
      <alignment textRotation="90"/>
      <protection locked="0"/>
    </xf>
    <xf numFmtId="0" fontId="24" fillId="8" borderId="36" xfId="0" applyNumberFormat="1" applyFont="1" applyFill="1" applyBorder="1" applyAlignment="1" applyProtection="1">
      <alignment horizontal="center" vertical="center"/>
      <protection locked="0"/>
    </xf>
    <xf numFmtId="0" fontId="24" fillId="0" borderId="0" xfId="0" applyFont="1" applyFill="1"/>
    <xf numFmtId="0" fontId="29" fillId="0" borderId="0" xfId="3" applyFont="1" applyAlignment="1" applyProtection="1"/>
    <xf numFmtId="0" fontId="26" fillId="0" borderId="3" xfId="0" applyFont="1" applyFill="1" applyBorder="1" applyAlignment="1">
      <alignment vertical="center" textRotation="90"/>
    </xf>
    <xf numFmtId="0" fontId="37" fillId="0" borderId="0" xfId="0" applyFont="1" applyAlignment="1">
      <alignment vertical="top"/>
    </xf>
    <xf numFmtId="0" fontId="38" fillId="0" borderId="0" xfId="0" applyFont="1" applyBorder="1" applyAlignment="1">
      <alignment horizontal="left" vertical="center" wrapText="1"/>
    </xf>
    <xf numFmtId="0" fontId="38" fillId="0" borderId="0" xfId="0" applyFont="1" applyBorder="1" applyAlignment="1">
      <alignment vertical="center" wrapText="1"/>
    </xf>
    <xf numFmtId="0" fontId="38" fillId="0" borderId="0" xfId="0" applyFont="1" applyBorder="1" applyAlignment="1">
      <alignment horizontal="center" vertical="center" wrapText="1"/>
    </xf>
    <xf numFmtId="0" fontId="38" fillId="0" borderId="0" xfId="0" applyFont="1" applyAlignment="1">
      <alignment vertical="center" wrapText="1"/>
    </xf>
    <xf numFmtId="0" fontId="3" fillId="0" borderId="61" xfId="0" applyFont="1" applyFill="1" applyBorder="1" applyAlignment="1">
      <alignment horizontal="left" vertical="center" wrapText="1"/>
    </xf>
    <xf numFmtId="0" fontId="3" fillId="0" borderId="64" xfId="0" applyFont="1" applyFill="1" applyBorder="1" applyAlignment="1">
      <alignment horizontal="center" vertical="center" textRotation="90" wrapText="1"/>
    </xf>
    <xf numFmtId="0" fontId="3" fillId="0" borderId="49" xfId="0" applyFont="1" applyFill="1" applyBorder="1" applyAlignment="1">
      <alignment horizontal="center" vertical="center" textRotation="90" wrapText="1"/>
    </xf>
    <xf numFmtId="0" fontId="3" fillId="0" borderId="75" xfId="0" applyFont="1" applyFill="1" applyBorder="1" applyAlignment="1">
      <alignment horizontal="center" vertical="center" textRotation="90" wrapText="1"/>
    </xf>
    <xf numFmtId="0" fontId="3" fillId="0" borderId="0" xfId="0" applyFont="1" applyFill="1" applyAlignment="1">
      <alignment horizontal="center"/>
    </xf>
    <xf numFmtId="0" fontId="9" fillId="9" borderId="76" xfId="0" applyFont="1" applyFill="1" applyBorder="1" applyAlignment="1">
      <alignment horizontal="left" vertical="center" wrapText="1"/>
    </xf>
    <xf numFmtId="0" fontId="9" fillId="9" borderId="40" xfId="0" applyFont="1" applyFill="1" applyBorder="1" applyAlignment="1">
      <alignment vertical="center" wrapText="1"/>
    </xf>
    <xf numFmtId="0" fontId="9" fillId="9" borderId="19" xfId="0" applyFont="1" applyFill="1" applyBorder="1" applyAlignment="1">
      <alignment vertical="center" wrapText="1"/>
    </xf>
    <xf numFmtId="0" fontId="9" fillId="9" borderId="19" xfId="0" applyFont="1" applyFill="1" applyBorder="1" applyAlignment="1">
      <alignment horizontal="center" vertical="center" wrapText="1"/>
    </xf>
    <xf numFmtId="0" fontId="9" fillId="9" borderId="41" xfId="0" applyFont="1" applyFill="1" applyBorder="1" applyAlignment="1">
      <alignment vertical="center" wrapText="1"/>
    </xf>
    <xf numFmtId="0" fontId="9" fillId="0" borderId="0" xfId="0" applyFont="1" applyFill="1"/>
    <xf numFmtId="0" fontId="39" fillId="0" borderId="77" xfId="0" applyFont="1" applyBorder="1" applyAlignment="1">
      <alignment horizontal="left" vertical="center" wrapText="1"/>
    </xf>
    <xf numFmtId="1" fontId="38" fillId="0" borderId="5" xfId="0" applyNumberFormat="1" applyFont="1" applyBorder="1" applyAlignment="1">
      <alignment vertical="center" wrapText="1"/>
    </xf>
    <xf numFmtId="1" fontId="38" fillId="0" borderId="1" xfId="0" applyNumberFormat="1" applyFont="1" applyBorder="1" applyAlignment="1">
      <alignment vertical="center" wrapText="1"/>
    </xf>
    <xf numFmtId="1" fontId="38" fillId="0" borderId="1" xfId="0" applyNumberFormat="1" applyFont="1" applyBorder="1" applyAlignment="1">
      <alignment horizontal="center" vertical="center" wrapText="1"/>
    </xf>
    <xf numFmtId="1" fontId="38" fillId="0" borderId="6" xfId="0" applyNumberFormat="1" applyFont="1" applyBorder="1" applyAlignment="1">
      <alignment vertical="center" wrapText="1"/>
    </xf>
    <xf numFmtId="0" fontId="38" fillId="9" borderId="78" xfId="0" applyFont="1" applyFill="1" applyBorder="1" applyAlignment="1">
      <alignment horizontal="left" vertical="center" wrapText="1"/>
    </xf>
    <xf numFmtId="0" fontId="38" fillId="9" borderId="79" xfId="0" applyFont="1" applyFill="1" applyBorder="1" applyAlignment="1">
      <alignment vertical="center" wrapText="1"/>
    </xf>
    <xf numFmtId="0" fontId="38" fillId="9" borderId="55" xfId="0" applyFont="1" applyFill="1" applyBorder="1" applyAlignment="1">
      <alignment vertical="center" wrapText="1"/>
    </xf>
    <xf numFmtId="0" fontId="38" fillId="9" borderId="55" xfId="0" applyFont="1" applyFill="1" applyBorder="1" applyAlignment="1">
      <alignment horizontal="center" vertical="center" wrapText="1"/>
    </xf>
    <xf numFmtId="0" fontId="38" fillId="9" borderId="57" xfId="0" applyFont="1" applyFill="1" applyBorder="1" applyAlignment="1">
      <alignment vertical="center" wrapText="1"/>
    </xf>
    <xf numFmtId="0" fontId="3" fillId="9" borderId="1" xfId="0" applyFont="1" applyFill="1" applyBorder="1" applyAlignment="1">
      <alignment vertical="center"/>
    </xf>
    <xf numFmtId="0" fontId="41" fillId="10" borderId="80" xfId="0" applyFont="1" applyFill="1" applyBorder="1" applyAlignment="1" applyProtection="1">
      <alignment horizontal="center" vertical="center"/>
      <protection locked="0"/>
    </xf>
    <xf numFmtId="0" fontId="41" fillId="10" borderId="21" xfId="0" applyFont="1" applyFill="1" applyBorder="1" applyAlignment="1" applyProtection="1">
      <alignment horizontal="left" vertical="center" indent="1"/>
      <protection locked="0"/>
    </xf>
    <xf numFmtId="0" fontId="41" fillId="10" borderId="21" xfId="0" applyFont="1" applyFill="1" applyBorder="1" applyAlignment="1" applyProtection="1">
      <alignment horizontal="center" wrapText="1"/>
      <protection locked="0"/>
    </xf>
    <xf numFmtId="0" fontId="41" fillId="10" borderId="21" xfId="0" applyFont="1" applyFill="1" applyBorder="1" applyAlignment="1" applyProtection="1">
      <alignment vertical="center"/>
      <protection locked="0"/>
    </xf>
    <xf numFmtId="0" fontId="41" fillId="10" borderId="21" xfId="0" applyFont="1" applyFill="1" applyBorder="1" applyAlignment="1" applyProtection="1">
      <alignment horizontal="center" vertical="center"/>
      <protection locked="0"/>
    </xf>
    <xf numFmtId="0" fontId="41" fillId="0" borderId="0" xfId="0" applyFont="1" applyAlignment="1">
      <alignment vertical="center"/>
    </xf>
    <xf numFmtId="0" fontId="41" fillId="10" borderId="81" xfId="0" applyFont="1" applyFill="1" applyBorder="1" applyAlignment="1" applyProtection="1">
      <alignment horizontal="center" vertical="center"/>
      <protection locked="0"/>
    </xf>
    <xf numFmtId="0" fontId="41" fillId="10" borderId="0" xfId="0" applyFont="1" applyFill="1" applyBorder="1" applyAlignment="1" applyProtection="1">
      <alignment horizontal="left" vertical="center" indent="1"/>
      <protection locked="0"/>
    </xf>
    <xf numFmtId="0" fontId="41" fillId="10" borderId="0" xfId="0" applyFont="1" applyFill="1" applyBorder="1" applyAlignment="1" applyProtection="1">
      <alignment horizontal="center" vertical="center"/>
      <protection locked="0"/>
    </xf>
    <xf numFmtId="0" fontId="41" fillId="10" borderId="0" xfId="0" applyFont="1" applyFill="1" applyBorder="1" applyAlignment="1" applyProtection="1">
      <alignment horizontal="center" vertical="center" wrapText="1"/>
      <protection locked="0"/>
    </xf>
    <xf numFmtId="0" fontId="41" fillId="10" borderId="0" xfId="0" applyFont="1" applyFill="1" applyBorder="1" applyAlignment="1" applyProtection="1">
      <alignment vertical="center"/>
      <protection locked="0"/>
    </xf>
    <xf numFmtId="0" fontId="42" fillId="10" borderId="0" xfId="0" applyFont="1" applyFill="1" applyBorder="1" applyAlignment="1" applyProtection="1">
      <alignment horizontal="center" vertical="center" textRotation="90"/>
      <protection locked="0"/>
    </xf>
    <xf numFmtId="0" fontId="41" fillId="10" borderId="51" xfId="0" applyFont="1" applyFill="1" applyBorder="1" applyAlignment="1" applyProtection="1">
      <alignment horizontal="center" vertical="center"/>
      <protection locked="0"/>
    </xf>
    <xf numFmtId="0" fontId="44" fillId="10" borderId="82" xfId="0" applyFont="1" applyFill="1" applyBorder="1" applyAlignment="1" applyProtection="1">
      <alignment horizontal="center" vertical="top" wrapText="1"/>
      <protection locked="0"/>
    </xf>
    <xf numFmtId="0" fontId="41" fillId="10" borderId="83" xfId="0" applyFont="1" applyFill="1" applyBorder="1" applyAlignment="1" applyProtection="1">
      <alignment horizontal="left" vertical="top" wrapText="1" indent="1"/>
      <protection locked="0"/>
    </xf>
    <xf numFmtId="0" fontId="41" fillId="10" borderId="83" xfId="0" applyFont="1" applyFill="1" applyBorder="1" applyAlignment="1" applyProtection="1">
      <alignment horizontal="center" vertical="top" wrapText="1"/>
      <protection locked="0"/>
    </xf>
    <xf numFmtId="0" fontId="45" fillId="10" borderId="83" xfId="0" applyFont="1" applyFill="1" applyBorder="1" applyAlignment="1" applyProtection="1">
      <alignment horizontal="center" vertical="top" wrapText="1"/>
      <protection locked="0"/>
    </xf>
    <xf numFmtId="0" fontId="45" fillId="10" borderId="84" xfId="0" applyFont="1" applyFill="1" applyBorder="1" applyAlignment="1" applyProtection="1">
      <alignment horizontal="center" vertical="top" wrapText="1"/>
      <protection locked="0"/>
    </xf>
    <xf numFmtId="0" fontId="44" fillId="0" borderId="0" xfId="0" applyFont="1" applyAlignment="1">
      <alignment horizontal="center" vertical="center" wrapText="1"/>
    </xf>
    <xf numFmtId="0" fontId="44" fillId="0" borderId="85" xfId="0" applyFont="1" applyBorder="1" applyAlignment="1" applyProtection="1">
      <alignment horizontal="center"/>
      <protection locked="0"/>
    </xf>
    <xf numFmtId="0" fontId="46" fillId="0" borderId="86" xfId="0" applyFont="1" applyBorder="1" applyAlignment="1" applyProtection="1">
      <alignment horizontal="left" indent="1"/>
      <protection locked="0"/>
    </xf>
    <xf numFmtId="0" fontId="44" fillId="0" borderId="86" xfId="0" applyFont="1" applyBorder="1" applyAlignment="1" applyProtection="1">
      <alignment horizontal="center"/>
      <protection locked="0"/>
    </xf>
    <xf numFmtId="9" fontId="44" fillId="0" borderId="86" xfId="2" applyFont="1" applyBorder="1" applyAlignment="1" applyProtection="1">
      <alignment horizontal="center"/>
      <protection locked="0"/>
    </xf>
    <xf numFmtId="0" fontId="47" fillId="0" borderId="86" xfId="0" applyFont="1" applyBorder="1" applyAlignment="1">
      <alignment horizontal="center" textRotation="90"/>
    </xf>
    <xf numFmtId="0" fontId="47" fillId="0" borderId="87" xfId="0" applyFont="1" applyBorder="1" applyAlignment="1">
      <alignment horizontal="center" textRotation="90"/>
    </xf>
    <xf numFmtId="0" fontId="44" fillId="0" borderId="0" xfId="0" applyFont="1" applyAlignment="1"/>
    <xf numFmtId="0" fontId="44" fillId="0" borderId="88" xfId="0" applyFont="1" applyBorder="1" applyAlignment="1" applyProtection="1">
      <alignment horizontal="center"/>
      <protection locked="0"/>
    </xf>
    <xf numFmtId="0" fontId="46" fillId="0" borderId="89" xfId="0" applyFont="1" applyBorder="1" applyAlignment="1" applyProtection="1">
      <alignment horizontal="left" indent="1"/>
      <protection locked="0"/>
    </xf>
    <xf numFmtId="0" fontId="44" fillId="0" borderId="89" xfId="0" applyFont="1" applyBorder="1" applyAlignment="1" applyProtection="1">
      <alignment horizontal="center"/>
      <protection locked="0"/>
    </xf>
    <xf numFmtId="9" fontId="44" fillId="0" borderId="89" xfId="2" applyFont="1" applyBorder="1" applyAlignment="1" applyProtection="1">
      <alignment horizontal="center"/>
      <protection locked="0"/>
    </xf>
    <xf numFmtId="0" fontId="47" fillId="0" borderId="89" xfId="0" applyFont="1" applyBorder="1" applyAlignment="1">
      <alignment horizontal="center" textRotation="90"/>
    </xf>
    <xf numFmtId="0" fontId="47" fillId="0" borderId="90" xfId="0" applyFont="1" applyBorder="1" applyAlignment="1">
      <alignment horizontal="center" textRotation="90"/>
    </xf>
    <xf numFmtId="0" fontId="44" fillId="0" borderId="0" xfId="0" applyFont="1" applyBorder="1" applyAlignment="1">
      <alignment horizontal="center"/>
    </xf>
    <xf numFmtId="0" fontId="46" fillId="0" borderId="0" xfId="0" applyFont="1" applyBorder="1" applyAlignment="1">
      <alignment horizontal="left" indent="1"/>
    </xf>
    <xf numFmtId="0" fontId="44" fillId="0" borderId="0" xfId="0" applyFont="1"/>
    <xf numFmtId="0" fontId="48" fillId="0" borderId="0" xfId="0" applyFont="1" applyBorder="1" applyAlignment="1">
      <alignment horizontal="right" vertical="center"/>
    </xf>
    <xf numFmtId="0" fontId="49" fillId="0" borderId="0" xfId="3" applyFont="1" applyBorder="1" applyAlignment="1" applyProtection="1">
      <alignment horizontal="left" vertical="center"/>
    </xf>
    <xf numFmtId="0" fontId="0" fillId="0" borderId="0" xfId="0" applyAlignment="1">
      <alignment horizontal="left" vertical="center"/>
    </xf>
    <xf numFmtId="0" fontId="50" fillId="0" borderId="0" xfId="0" applyFont="1" applyAlignment="1">
      <alignment horizontal="left" vertical="center"/>
    </xf>
    <xf numFmtId="0" fontId="50" fillId="0" borderId="0" xfId="0" applyFont="1" applyAlignment="1">
      <alignment vertical="center"/>
    </xf>
    <xf numFmtId="0" fontId="44" fillId="0" borderId="0" xfId="0" applyFont="1" applyAlignment="1">
      <alignment horizontal="center" vertical="center"/>
    </xf>
    <xf numFmtId="0" fontId="44" fillId="0" borderId="0" xfId="0" applyFont="1" applyAlignment="1">
      <alignment vertical="center"/>
    </xf>
    <xf numFmtId="0" fontId="44" fillId="0" borderId="0" xfId="0" applyFont="1" applyAlignment="1">
      <alignment horizontal="center"/>
    </xf>
    <xf numFmtId="0" fontId="46" fillId="0" borderId="0" xfId="0" applyFont="1" applyAlignment="1">
      <alignment horizontal="left" indent="1"/>
    </xf>
    <xf numFmtId="0" fontId="51" fillId="0" borderId="0" xfId="4"/>
    <xf numFmtId="0" fontId="28" fillId="0" borderId="0" xfId="4" applyFont="1" applyFill="1" applyBorder="1"/>
    <xf numFmtId="0" fontId="50" fillId="0" borderId="0" xfId="4" applyFont="1" applyAlignment="1">
      <alignment horizontal="right"/>
    </xf>
    <xf numFmtId="0" fontId="9" fillId="0" borderId="0" xfId="4" applyFont="1" applyFill="1" applyBorder="1"/>
    <xf numFmtId="0" fontId="3" fillId="0" borderId="0" xfId="4" applyFont="1" applyFill="1" applyBorder="1"/>
    <xf numFmtId="0" fontId="3" fillId="0" borderId="0" xfId="4" applyFont="1" applyFill="1" applyBorder="1" applyAlignment="1">
      <alignment horizontal="right" textRotation="90" wrapText="1"/>
    </xf>
    <xf numFmtId="0" fontId="52" fillId="0" borderId="0" xfId="5" applyFont="1" applyAlignment="1" applyProtection="1">
      <alignment horizontal="right"/>
    </xf>
    <xf numFmtId="0" fontId="9" fillId="8" borderId="0" xfId="4" applyFont="1" applyFill="1" applyBorder="1"/>
    <xf numFmtId="0" fontId="3" fillId="8" borderId="0" xfId="4" applyFont="1" applyFill="1" applyBorder="1"/>
    <xf numFmtId="0" fontId="3" fillId="8" borderId="0" xfId="4" applyFont="1" applyFill="1" applyBorder="1" applyAlignment="1">
      <alignment horizontal="right" textRotation="90" wrapText="1"/>
    </xf>
    <xf numFmtId="0" fontId="51" fillId="0" borderId="0" xfId="4" applyFill="1" applyBorder="1" applyProtection="1">
      <protection locked="0"/>
    </xf>
    <xf numFmtId="0" fontId="9" fillId="0" borderId="91" xfId="4" applyFont="1" applyFill="1" applyBorder="1" applyAlignment="1" applyProtection="1">
      <alignment horizontal="right" vertical="center" wrapText="1"/>
      <protection locked="0"/>
    </xf>
    <xf numFmtId="0" fontId="54" fillId="0" borderId="92" xfId="4" applyFont="1" applyFill="1" applyBorder="1" applyAlignment="1" applyProtection="1">
      <alignment horizontal="center" vertical="center" wrapText="1"/>
      <protection locked="0"/>
    </xf>
    <xf numFmtId="0" fontId="54" fillId="0" borderId="93" xfId="4" applyFont="1" applyFill="1" applyBorder="1" applyAlignment="1" applyProtection="1">
      <alignment horizontal="center" vertical="center" wrapText="1"/>
      <protection locked="0"/>
    </xf>
    <xf numFmtId="0" fontId="54" fillId="0" borderId="93" xfId="4" applyFont="1" applyFill="1" applyBorder="1" applyAlignment="1" applyProtection="1">
      <alignment horizontal="center" vertical="center"/>
      <protection locked="0"/>
    </xf>
    <xf numFmtId="0" fontId="54" fillId="0" borderId="94" xfId="4" applyFont="1" applyFill="1" applyBorder="1" applyAlignment="1" applyProtection="1">
      <alignment horizontal="center" vertical="center"/>
      <protection locked="0"/>
    </xf>
    <xf numFmtId="0" fontId="9" fillId="0" borderId="95" xfId="4" applyFont="1" applyFill="1" applyBorder="1" applyAlignment="1" applyProtection="1">
      <alignment horizontal="right" vertical="center" wrapText="1"/>
      <protection locked="0"/>
    </xf>
    <xf numFmtId="0" fontId="55" fillId="0" borderId="96" xfId="4" applyFont="1" applyFill="1" applyBorder="1" applyAlignment="1" applyProtection="1">
      <alignment horizontal="center" vertical="center" wrapText="1"/>
      <protection locked="0"/>
    </xf>
    <xf numFmtId="0" fontId="55" fillId="0" borderId="97" xfId="4" applyFont="1" applyFill="1" applyBorder="1" applyAlignment="1" applyProtection="1">
      <alignment horizontal="center" vertical="center" wrapText="1"/>
      <protection locked="0"/>
    </xf>
    <xf numFmtId="0" fontId="55" fillId="0" borderId="98" xfId="4" applyFont="1" applyFill="1" applyBorder="1" applyAlignment="1" applyProtection="1">
      <alignment horizontal="center" vertical="center" wrapText="1"/>
      <protection locked="0"/>
    </xf>
    <xf numFmtId="0" fontId="51" fillId="0" borderId="92" xfId="4" applyFill="1" applyBorder="1" applyAlignment="1" applyProtection="1">
      <alignment horizontal="center" vertical="center" wrapText="1"/>
      <protection locked="0"/>
    </xf>
    <xf numFmtId="0" fontId="51" fillId="0" borderId="93" xfId="4" applyFill="1" applyBorder="1" applyAlignment="1" applyProtection="1">
      <alignment horizontal="center" vertical="center" wrapText="1"/>
      <protection locked="0"/>
    </xf>
    <xf numFmtId="0" fontId="51" fillId="0" borderId="94" xfId="4" applyFill="1" applyBorder="1" applyAlignment="1" applyProtection="1">
      <alignment horizontal="center" vertical="center" wrapText="1"/>
      <protection locked="0"/>
    </xf>
    <xf numFmtId="0" fontId="3" fillId="0" borderId="0" xfId="4" applyFont="1" applyFill="1" applyBorder="1" applyAlignment="1" applyProtection="1">
      <alignment horizontal="left" wrapText="1"/>
      <protection locked="0"/>
    </xf>
    <xf numFmtId="0" fontId="51" fillId="0" borderId="99" xfId="4" applyFill="1" applyBorder="1" applyAlignment="1" applyProtection="1">
      <alignment textRotation="90" wrapText="1"/>
      <protection locked="0"/>
    </xf>
    <xf numFmtId="0" fontId="51" fillId="0" borderId="100" xfId="4" applyFill="1" applyBorder="1" applyAlignment="1" applyProtection="1">
      <alignment textRotation="90" wrapText="1"/>
      <protection locked="0"/>
    </xf>
    <xf numFmtId="0" fontId="51" fillId="0" borderId="101" xfId="4" applyFill="1" applyBorder="1" applyAlignment="1" applyProtection="1">
      <alignment textRotation="90" wrapText="1"/>
      <protection locked="0"/>
    </xf>
    <xf numFmtId="0" fontId="51" fillId="0" borderId="0" xfId="4" applyFont="1" applyFill="1" applyBorder="1" applyAlignment="1">
      <alignment horizontal="center"/>
    </xf>
    <xf numFmtId="0" fontId="51" fillId="0" borderId="0" xfId="4" applyFill="1" applyBorder="1" applyAlignment="1">
      <alignment horizontal="center"/>
    </xf>
    <xf numFmtId="0" fontId="51" fillId="0" borderId="102" xfId="4" applyFill="1" applyBorder="1" applyAlignment="1" applyProtection="1">
      <alignment horizontal="center" vertical="center"/>
      <protection locked="0"/>
    </xf>
    <xf numFmtId="0" fontId="51" fillId="0" borderId="103" xfId="4" applyFill="1" applyBorder="1" applyAlignment="1" applyProtection="1">
      <alignment horizontal="left" vertical="center"/>
      <protection locked="0"/>
    </xf>
    <xf numFmtId="0" fontId="51" fillId="0" borderId="104" xfId="4" applyFill="1" applyBorder="1" applyAlignment="1" applyProtection="1">
      <alignment horizontal="left" vertical="center" wrapText="1"/>
      <protection locked="0"/>
    </xf>
    <xf numFmtId="0" fontId="54" fillId="0" borderId="105" xfId="4" applyFont="1" applyFill="1" applyBorder="1" applyAlignment="1" applyProtection="1">
      <alignment horizontal="center" vertical="center"/>
      <protection locked="0"/>
    </xf>
    <xf numFmtId="0" fontId="54" fillId="0" borderId="103" xfId="4" applyFont="1" applyFill="1" applyBorder="1" applyAlignment="1" applyProtection="1">
      <alignment horizontal="center" vertical="center"/>
      <protection locked="0"/>
    </xf>
    <xf numFmtId="0" fontId="54" fillId="0" borderId="106" xfId="4" applyFont="1" applyFill="1" applyBorder="1" applyAlignment="1" applyProtection="1">
      <alignment horizontal="center" vertical="center"/>
      <protection locked="0"/>
    </xf>
    <xf numFmtId="0" fontId="55" fillId="0" borderId="102" xfId="4" applyFont="1" applyFill="1" applyBorder="1" applyAlignment="1">
      <alignment horizontal="center" vertical="center"/>
    </xf>
    <xf numFmtId="0" fontId="55" fillId="0" borderId="103" xfId="4" applyFont="1" applyFill="1" applyBorder="1" applyAlignment="1">
      <alignment horizontal="center" vertical="center"/>
    </xf>
    <xf numFmtId="0" fontId="55" fillId="0" borderId="106" xfId="4" applyFont="1" applyFill="1" applyBorder="1" applyAlignment="1">
      <alignment horizontal="center" vertical="center"/>
    </xf>
    <xf numFmtId="0" fontId="51" fillId="0" borderId="107" xfId="4" applyFill="1" applyBorder="1" applyAlignment="1" applyProtection="1">
      <alignment horizontal="center" vertical="center"/>
      <protection locked="0"/>
    </xf>
    <xf numFmtId="0" fontId="51" fillId="0" borderId="108" xfId="4" applyFill="1" applyBorder="1" applyAlignment="1" applyProtection="1">
      <alignment horizontal="left" vertical="center"/>
      <protection locked="0"/>
    </xf>
    <xf numFmtId="0" fontId="51" fillId="0" borderId="109" xfId="4" applyFill="1" applyBorder="1" applyAlignment="1" applyProtection="1">
      <alignment horizontal="left" vertical="center" wrapText="1"/>
      <protection locked="0"/>
    </xf>
    <xf numFmtId="0" fontId="54" fillId="0" borderId="110" xfId="4" applyFont="1" applyFill="1" applyBorder="1" applyAlignment="1" applyProtection="1">
      <alignment horizontal="center" vertical="center"/>
      <protection locked="0"/>
    </xf>
    <xf numFmtId="0" fontId="54" fillId="0" borderId="108" xfId="4" applyFont="1" applyFill="1" applyBorder="1" applyAlignment="1" applyProtection="1">
      <alignment horizontal="center" vertical="center"/>
      <protection locked="0"/>
    </xf>
    <xf numFmtId="0" fontId="54" fillId="0" borderId="111" xfId="4" applyFont="1" applyFill="1" applyBorder="1" applyAlignment="1" applyProtection="1">
      <alignment horizontal="center" vertical="center"/>
      <protection locked="0"/>
    </xf>
    <xf numFmtId="0" fontId="55" fillId="0" borderId="107" xfId="4" applyFont="1" applyFill="1" applyBorder="1" applyAlignment="1">
      <alignment horizontal="center" vertical="center"/>
    </xf>
    <xf numFmtId="0" fontId="55" fillId="0" borderId="108" xfId="4" applyFont="1" applyFill="1" applyBorder="1" applyAlignment="1">
      <alignment horizontal="center" vertical="center"/>
    </xf>
    <xf numFmtId="0" fontId="55" fillId="0" borderId="111" xfId="4" applyFont="1" applyFill="1" applyBorder="1" applyAlignment="1">
      <alignment horizontal="center" vertical="center"/>
    </xf>
    <xf numFmtId="0" fontId="51" fillId="0" borderId="112" xfId="4" applyFill="1" applyBorder="1" applyAlignment="1" applyProtection="1">
      <alignment horizontal="center" vertical="center"/>
      <protection locked="0"/>
    </xf>
    <xf numFmtId="0" fontId="51" fillId="0" borderId="97" xfId="4" applyFill="1" applyBorder="1" applyAlignment="1" applyProtection="1">
      <alignment horizontal="left" vertical="center"/>
      <protection locked="0"/>
    </xf>
    <xf numFmtId="0" fontId="51" fillId="0" borderId="113" xfId="4" applyFill="1" applyBorder="1" applyAlignment="1" applyProtection="1">
      <alignment horizontal="left" vertical="center" wrapText="1"/>
      <protection locked="0"/>
    </xf>
    <xf numFmtId="0" fontId="54" fillId="0" borderId="96" xfId="4" applyFont="1" applyFill="1" applyBorder="1" applyAlignment="1" applyProtection="1">
      <alignment horizontal="center" vertical="center"/>
      <protection locked="0"/>
    </xf>
    <xf numFmtId="0" fontId="54" fillId="0" borderId="97" xfId="4" applyFont="1" applyFill="1" applyBorder="1" applyAlignment="1" applyProtection="1">
      <alignment horizontal="center" vertical="center"/>
      <protection locked="0"/>
    </xf>
    <xf numFmtId="0" fontId="54" fillId="0" borderId="98" xfId="4" applyFont="1" applyFill="1" applyBorder="1" applyAlignment="1" applyProtection="1">
      <alignment horizontal="center" vertical="center"/>
      <protection locked="0"/>
    </xf>
    <xf numFmtId="0" fontId="55" fillId="0" borderId="112" xfId="4" applyFont="1" applyFill="1" applyBorder="1" applyAlignment="1">
      <alignment horizontal="center" vertical="center"/>
    </xf>
    <xf numFmtId="0" fontId="55" fillId="0" borderId="97" xfId="4" applyFont="1" applyFill="1" applyBorder="1" applyAlignment="1">
      <alignment horizontal="center" vertical="center"/>
    </xf>
    <xf numFmtId="0" fontId="55" fillId="0" borderId="98" xfId="4" applyFont="1" applyFill="1" applyBorder="1" applyAlignment="1">
      <alignment horizontal="center" vertical="center"/>
    </xf>
    <xf numFmtId="0" fontId="51" fillId="0" borderId="0" xfId="4" applyFill="1" applyBorder="1" applyAlignment="1">
      <alignment horizontal="right" vertical="center"/>
    </xf>
    <xf numFmtId="0" fontId="55" fillId="0" borderId="105" xfId="4" applyFont="1" applyFill="1" applyBorder="1" applyAlignment="1">
      <alignment horizontal="center" vertical="center" wrapText="1"/>
    </xf>
    <xf numFmtId="0" fontId="55" fillId="0" borderId="103" xfId="4" applyFont="1" applyFill="1" applyBorder="1" applyAlignment="1">
      <alignment horizontal="center" vertical="center" wrapText="1"/>
    </xf>
    <xf numFmtId="0" fontId="55" fillId="0" borderId="106" xfId="4" applyFont="1" applyFill="1" applyBorder="1" applyAlignment="1">
      <alignment horizontal="center" vertical="center" wrapText="1"/>
    </xf>
    <xf numFmtId="0" fontId="51" fillId="0" borderId="0" xfId="4" applyFill="1" applyBorder="1" applyAlignment="1">
      <alignment horizontal="center" vertical="center"/>
    </xf>
    <xf numFmtId="0" fontId="55" fillId="0" borderId="96" xfId="4" applyFont="1" applyFill="1" applyBorder="1" applyAlignment="1">
      <alignment horizontal="center" vertical="center" wrapText="1"/>
    </xf>
    <xf numFmtId="0" fontId="55" fillId="0" borderId="97" xfId="4" applyFont="1" applyFill="1" applyBorder="1" applyAlignment="1">
      <alignment horizontal="center" vertical="center" wrapText="1"/>
    </xf>
    <xf numFmtId="0" fontId="55" fillId="0" borderId="98" xfId="4" applyFont="1" applyFill="1" applyBorder="1" applyAlignment="1">
      <alignment horizontal="center" vertical="center" wrapText="1"/>
    </xf>
    <xf numFmtId="0" fontId="51" fillId="0" borderId="92" xfId="4" applyFill="1" applyBorder="1" applyAlignment="1">
      <alignment horizontal="center" vertical="center" textRotation="90" wrapText="1"/>
    </xf>
    <xf numFmtId="0" fontId="51" fillId="0" borderId="93" xfId="4" applyFill="1" applyBorder="1" applyAlignment="1">
      <alignment horizontal="center" vertical="center" textRotation="90" wrapText="1"/>
    </xf>
    <xf numFmtId="0" fontId="51" fillId="0" borderId="93" xfId="4" applyFill="1" applyBorder="1" applyAlignment="1">
      <alignment horizontal="center" vertical="center"/>
    </xf>
    <xf numFmtId="0" fontId="51" fillId="0" borderId="94" xfId="4" applyFill="1" applyBorder="1" applyAlignment="1">
      <alignment horizontal="center" vertical="center"/>
    </xf>
    <xf numFmtId="0" fontId="51" fillId="0" borderId="110" xfId="4" applyFill="1" applyBorder="1" applyAlignment="1">
      <alignment horizontal="center" vertical="center" textRotation="90" wrapText="1"/>
    </xf>
    <xf numFmtId="0" fontId="51" fillId="0" borderId="108" xfId="4" applyFill="1" applyBorder="1" applyAlignment="1">
      <alignment horizontal="center" vertical="center" textRotation="90" wrapText="1"/>
    </xf>
    <xf numFmtId="0" fontId="51" fillId="0" borderId="108" xfId="4" applyFill="1" applyBorder="1" applyAlignment="1">
      <alignment horizontal="center" vertical="center"/>
    </xf>
    <xf numFmtId="0" fontId="51" fillId="0" borderId="111" xfId="4" applyFill="1" applyBorder="1" applyAlignment="1">
      <alignment horizontal="center" vertical="center"/>
    </xf>
    <xf numFmtId="0" fontId="51" fillId="0" borderId="96" xfId="4" applyFill="1" applyBorder="1" applyAlignment="1">
      <alignment horizontal="center" vertical="center" textRotation="90" wrapText="1"/>
    </xf>
    <xf numFmtId="0" fontId="51" fillId="0" borderId="97" xfId="4" applyFill="1" applyBorder="1" applyAlignment="1">
      <alignment horizontal="center" vertical="center" textRotation="90" wrapText="1"/>
    </xf>
    <xf numFmtId="0" fontId="51" fillId="0" borderId="97" xfId="4" applyFill="1" applyBorder="1" applyAlignment="1">
      <alignment horizontal="center" vertical="center"/>
    </xf>
    <xf numFmtId="0" fontId="51" fillId="0" borderId="98" xfId="4" applyFill="1" applyBorder="1" applyAlignment="1">
      <alignment horizontal="center" vertical="center"/>
    </xf>
    <xf numFmtId="0" fontId="56" fillId="0" borderId="0" xfId="4" applyFont="1" applyFill="1" applyBorder="1"/>
    <xf numFmtId="0" fontId="55" fillId="0" borderId="114" xfId="4" applyFont="1" applyFill="1" applyBorder="1" applyAlignment="1">
      <alignment horizontal="center" vertical="center" wrapText="1"/>
    </xf>
    <xf numFmtId="0" fontId="55" fillId="0" borderId="115" xfId="4" applyFont="1" applyFill="1" applyBorder="1" applyAlignment="1">
      <alignment horizontal="center" vertical="center" wrapText="1"/>
    </xf>
    <xf numFmtId="0" fontId="55" fillId="0" borderId="116" xfId="4" applyFont="1" applyFill="1"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0" fillId="12" borderId="3" xfId="0" applyFill="1" applyBorder="1" applyAlignment="1">
      <alignment wrapText="1"/>
    </xf>
    <xf numFmtId="0" fontId="0" fillId="3" borderId="4" xfId="0" applyFill="1" applyBorder="1" applyAlignment="1">
      <alignment wrapText="1"/>
    </xf>
    <xf numFmtId="0" fontId="0" fillId="12" borderId="1" xfId="0" applyFill="1" applyBorder="1"/>
    <xf numFmtId="0" fontId="0" fillId="3" borderId="6" xfId="0" applyFill="1" applyBorder="1"/>
    <xf numFmtId="0" fontId="0" fillId="12" borderId="8" xfId="0" applyFill="1" applyBorder="1"/>
    <xf numFmtId="0" fontId="0" fillId="3" borderId="9" xfId="0" applyFill="1" applyBorder="1"/>
    <xf numFmtId="0" fontId="0" fillId="0" borderId="59" xfId="0" applyBorder="1"/>
    <xf numFmtId="0" fontId="0" fillId="12" borderId="59" xfId="0" applyFill="1" applyBorder="1"/>
    <xf numFmtId="10" fontId="0" fillId="12" borderId="1" xfId="0" applyNumberFormat="1" applyFill="1" applyBorder="1"/>
    <xf numFmtId="0" fontId="3" fillId="0" borderId="0" xfId="0" applyFont="1"/>
    <xf numFmtId="0" fontId="57" fillId="0" borderId="0" xfId="0" applyFont="1" applyAlignment="1">
      <alignment horizontal="right"/>
    </xf>
    <xf numFmtId="0" fontId="0" fillId="0" borderId="1" xfId="0" applyBorder="1" applyProtection="1">
      <protection locked="0"/>
    </xf>
    <xf numFmtId="0" fontId="0" fillId="0" borderId="0" xfId="0" applyAlignment="1">
      <alignment horizontal="right"/>
    </xf>
    <xf numFmtId="168" fontId="0" fillId="8" borderId="1" xfId="0" applyNumberFormat="1" applyFill="1" applyBorder="1"/>
    <xf numFmtId="169" fontId="0" fillId="8" borderId="1" xfId="0" applyNumberFormat="1" applyFill="1" applyBorder="1"/>
    <xf numFmtId="0" fontId="9" fillId="0" borderId="0" xfId="0" applyFont="1" applyAlignment="1">
      <alignment wrapText="1"/>
    </xf>
    <xf numFmtId="169" fontId="0" fillId="0" borderId="1" xfId="0" applyNumberFormat="1" applyBorder="1" applyProtection="1">
      <protection locked="0"/>
    </xf>
    <xf numFmtId="0" fontId="9" fillId="0" borderId="0" xfId="0" applyFont="1"/>
    <xf numFmtId="0" fontId="0" fillId="8" borderId="1" xfId="0" applyFill="1" applyBorder="1"/>
    <xf numFmtId="168" fontId="0" fillId="0" borderId="1" xfId="0" applyNumberFormat="1" applyBorder="1" applyProtection="1">
      <protection locked="0"/>
    </xf>
    <xf numFmtId="169" fontId="0" fillId="0" borderId="0" xfId="0" applyNumberFormat="1"/>
    <xf numFmtId="0" fontId="0" fillId="0" borderId="58" xfId="0" applyBorder="1"/>
    <xf numFmtId="0" fontId="0" fillId="0" borderId="39" xfId="0" applyBorder="1"/>
    <xf numFmtId="0" fontId="0" fillId="0" borderId="41" xfId="0" applyBorder="1"/>
    <xf numFmtId="0" fontId="0" fillId="0" borderId="5" xfId="0" applyFont="1" applyBorder="1"/>
    <xf numFmtId="0" fontId="0" fillId="0" borderId="6" xfId="0" applyFont="1" applyBorder="1"/>
    <xf numFmtId="0" fontId="0" fillId="0" borderId="7" xfId="0" applyFont="1" applyBorder="1"/>
    <xf numFmtId="0" fontId="0" fillId="0" borderId="9" xfId="0" applyFont="1" applyBorder="1"/>
    <xf numFmtId="0" fontId="0" fillId="0" borderId="52" xfId="0" applyFill="1" applyBorder="1"/>
    <xf numFmtId="0" fontId="22" fillId="2" borderId="10" xfId="0" applyFont="1" applyFill="1" applyBorder="1" applyAlignment="1">
      <alignment wrapText="1"/>
    </xf>
    <xf numFmtId="0" fontId="22" fillId="2" borderId="11" xfId="0" applyFont="1" applyFill="1" applyBorder="1" applyAlignment="1">
      <alignment wrapText="1"/>
    </xf>
    <xf numFmtId="0" fontId="22" fillId="2" borderId="12" xfId="0" applyFont="1" applyFill="1" applyBorder="1" applyAlignment="1">
      <alignment wrapText="1"/>
    </xf>
    <xf numFmtId="0" fontId="0" fillId="0" borderId="13" xfId="0" applyBorder="1"/>
    <xf numFmtId="0" fontId="22" fillId="0" borderId="0" xfId="0" applyFont="1" applyBorder="1"/>
    <xf numFmtId="0" fontId="22" fillId="0" borderId="15" xfId="0" applyFont="1" applyBorder="1"/>
    <xf numFmtId="0" fontId="22" fillId="0" borderId="16" xfId="0" applyFont="1" applyBorder="1"/>
    <xf numFmtId="0" fontId="22" fillId="0" borderId="5" xfId="0" applyFont="1" applyBorder="1"/>
    <xf numFmtId="0" fontId="22" fillId="0" borderId="6" xfId="0" applyFont="1" applyBorder="1"/>
    <xf numFmtId="0" fontId="22" fillId="0" borderId="5" xfId="0" applyFont="1" applyBorder="1" applyAlignment="1">
      <alignment wrapText="1"/>
    </xf>
    <xf numFmtId="0" fontId="22" fillId="0" borderId="6" xfId="0" applyFont="1" applyBorder="1" applyAlignment="1">
      <alignment wrapText="1"/>
    </xf>
    <xf numFmtId="0" fontId="22" fillId="0" borderId="7" xfId="0" applyFont="1" applyBorder="1"/>
    <xf numFmtId="0" fontId="22" fillId="0" borderId="9" xfId="0" applyFont="1" applyBorder="1"/>
    <xf numFmtId="0" fontId="3" fillId="0" borderId="1" xfId="0" applyFont="1" applyBorder="1" applyAlignment="1">
      <alignment horizontal="right"/>
    </xf>
    <xf numFmtId="0" fontId="0" fillId="8" borderId="1" xfId="0" applyFill="1" applyBorder="1" applyAlignment="1" applyProtection="1">
      <alignment horizontal="center"/>
      <protection locked="0"/>
    </xf>
    <xf numFmtId="0" fontId="3" fillId="7" borderId="18" xfId="0" applyFont="1" applyFill="1" applyBorder="1" applyAlignment="1">
      <alignment horizontal="centerContinuous"/>
    </xf>
    <xf numFmtId="0" fontId="3" fillId="7" borderId="20" xfId="0" applyFont="1" applyFill="1" applyBorder="1" applyAlignment="1">
      <alignment horizontal="centerContinuous"/>
    </xf>
    <xf numFmtId="0" fontId="0" fillId="8" borderId="1" xfId="2" applyNumberFormat="1" applyFont="1" applyFill="1" applyBorder="1" applyAlignment="1" applyProtection="1">
      <alignment horizontal="center"/>
      <protection locked="0"/>
    </xf>
    <xf numFmtId="0" fontId="3" fillId="7" borderId="1" xfId="0" applyFont="1" applyFill="1" applyBorder="1" applyAlignment="1">
      <alignment horizontal="right"/>
    </xf>
    <xf numFmtId="0" fontId="3" fillId="7" borderId="1" xfId="0" applyFont="1" applyFill="1" applyBorder="1"/>
    <xf numFmtId="0" fontId="0" fillId="7" borderId="1" xfId="0" quotePrefix="1" applyFill="1" applyBorder="1" applyAlignment="1">
      <alignment horizontal="right"/>
    </xf>
    <xf numFmtId="0" fontId="0" fillId="7" borderId="1" xfId="0" applyFill="1" applyBorder="1" applyAlignment="1">
      <alignment horizontal="left"/>
    </xf>
    <xf numFmtId="0" fontId="3" fillId="0" borderId="0" xfId="0" applyFont="1" applyAlignment="1">
      <alignment horizontal="right"/>
    </xf>
    <xf numFmtId="9" fontId="0" fillId="7" borderId="1" xfId="2" quotePrefix="1" applyFont="1" applyFill="1" applyBorder="1" applyAlignment="1" applyProtection="1">
      <alignment horizontal="right"/>
    </xf>
    <xf numFmtId="0" fontId="0" fillId="7" borderId="1" xfId="0" applyFill="1" applyBorder="1" applyAlignment="1" applyProtection="1">
      <alignment horizontal="left"/>
    </xf>
    <xf numFmtId="9" fontId="0" fillId="8" borderId="1" xfId="2" applyFont="1" applyFill="1" applyBorder="1" applyProtection="1">
      <protection locked="0"/>
    </xf>
    <xf numFmtId="1" fontId="0" fillId="0" borderId="1" xfId="2" applyNumberFormat="1" applyFont="1" applyBorder="1"/>
    <xf numFmtId="1" fontId="0" fillId="0" borderId="1" xfId="2" applyNumberFormat="1" applyFont="1" applyBorder="1" applyProtection="1"/>
    <xf numFmtId="0" fontId="0" fillId="8" borderId="1" xfId="0" applyFill="1" applyBorder="1" applyProtection="1">
      <protection locked="0"/>
    </xf>
    <xf numFmtId="0" fontId="3" fillId="7" borderId="18" xfId="0" applyFont="1" applyFill="1" applyBorder="1"/>
    <xf numFmtId="0" fontId="0" fillId="7" borderId="20" xfId="0" applyFill="1" applyBorder="1"/>
    <xf numFmtId="1" fontId="0" fillId="0" borderId="1" xfId="0" applyNumberFormat="1" applyBorder="1"/>
    <xf numFmtId="0" fontId="0" fillId="7" borderId="1" xfId="2" applyNumberFormat="1" applyFont="1" applyFill="1" applyBorder="1"/>
    <xf numFmtId="0" fontId="0" fillId="7" borderId="1" xfId="0" applyFill="1" applyBorder="1"/>
    <xf numFmtId="9" fontId="0" fillId="7" borderId="1" xfId="2" applyFont="1" applyFill="1" applyBorder="1"/>
    <xf numFmtId="0" fontId="0" fillId="7" borderId="1" xfId="0" applyNumberFormat="1" applyFill="1" applyBorder="1"/>
    <xf numFmtId="0" fontId="28" fillId="0" borderId="0" xfId="0" applyFont="1" applyAlignment="1">
      <alignment horizontal="centerContinuous"/>
    </xf>
    <xf numFmtId="0" fontId="0" fillId="0" borderId="0" xfId="0" applyAlignment="1">
      <alignment horizontal="centerContinuous"/>
    </xf>
    <xf numFmtId="0" fontId="38" fillId="0" borderId="80" xfId="0" applyFont="1" applyBorder="1"/>
    <xf numFmtId="0" fontId="38" fillId="0" borderId="21" xfId="0" applyFont="1" applyBorder="1"/>
    <xf numFmtId="0" fontId="38" fillId="0" borderId="49" xfId="0" applyFont="1" applyBorder="1"/>
    <xf numFmtId="0" fontId="38" fillId="0" borderId="0" xfId="0" applyFont="1" applyBorder="1"/>
    <xf numFmtId="0" fontId="38" fillId="0" borderId="0" xfId="0" applyFont="1"/>
    <xf numFmtId="0" fontId="0" fillId="0" borderId="44" xfId="0" applyBorder="1"/>
    <xf numFmtId="0" fontId="0" fillId="0" borderId="45" xfId="0" applyBorder="1"/>
    <xf numFmtId="0" fontId="55" fillId="0" borderId="44" xfId="0" applyFont="1" applyBorder="1" applyProtection="1">
      <protection locked="0"/>
    </xf>
    <xf numFmtId="0" fontId="55" fillId="0" borderId="22" xfId="0" applyFont="1" applyBorder="1"/>
    <xf numFmtId="0" fontId="55" fillId="0" borderId="45" xfId="0" applyFont="1" applyBorder="1"/>
    <xf numFmtId="0" fontId="38" fillId="0" borderId="21" xfId="0" applyFont="1" applyBorder="1" applyAlignment="1">
      <alignment horizontal="centerContinuous"/>
    </xf>
    <xf numFmtId="0" fontId="38" fillId="0" borderId="49" xfId="0" applyFont="1" applyBorder="1" applyAlignment="1">
      <alignment horizontal="centerContinuous"/>
    </xf>
    <xf numFmtId="0" fontId="0" fillId="0" borderId="49" xfId="0" applyBorder="1"/>
    <xf numFmtId="0" fontId="55" fillId="0" borderId="22" xfId="0" applyFont="1" applyBorder="1" applyAlignment="1">
      <alignment horizontal="center"/>
    </xf>
    <xf numFmtId="0" fontId="55" fillId="0" borderId="45" xfId="0" applyFont="1" applyBorder="1" applyAlignment="1">
      <alignment horizontal="center"/>
    </xf>
    <xf numFmtId="0" fontId="59" fillId="0" borderId="44" xfId="0" applyFont="1" applyBorder="1" applyAlignment="1" applyProtection="1">
      <alignment horizontal="centerContinuous"/>
    </xf>
    <xf numFmtId="0" fontId="59" fillId="0" borderId="45" xfId="0" applyFont="1" applyBorder="1" applyAlignment="1" applyProtection="1">
      <alignment horizontal="centerContinuous"/>
    </xf>
    <xf numFmtId="0" fontId="0" fillId="0" borderId="45" xfId="0" applyBorder="1" applyAlignment="1">
      <alignment horizontal="centerContinuous"/>
    </xf>
    <xf numFmtId="0" fontId="0" fillId="0" borderId="44" xfId="0" applyBorder="1" applyAlignment="1">
      <alignment horizontal="centerContinuous"/>
    </xf>
    <xf numFmtId="0" fontId="54" fillId="0" borderId="0" xfId="0" quotePrefix="1" applyFont="1" applyBorder="1" applyAlignment="1">
      <alignment horizontal="right"/>
    </xf>
    <xf numFmtId="0" fontId="0" fillId="0" borderId="0" xfId="0" applyBorder="1" applyAlignment="1">
      <alignment horizontal="center"/>
    </xf>
    <xf numFmtId="0" fontId="3" fillId="0" borderId="10" xfId="0" applyFont="1" applyBorder="1"/>
    <xf numFmtId="0" fontId="0" fillId="0" borderId="123" xfId="0" applyBorder="1"/>
    <xf numFmtId="0" fontId="3" fillId="0" borderId="47" xfId="0" applyFont="1" applyBorder="1" applyAlignment="1">
      <alignment horizontal="centerContinuous"/>
    </xf>
    <xf numFmtId="0" fontId="3" fillId="0" borderId="38" xfId="0" applyFont="1" applyBorder="1" applyAlignment="1">
      <alignment horizontal="centerContinuous"/>
    </xf>
    <xf numFmtId="0" fontId="3" fillId="0" borderId="54" xfId="0" applyFont="1" applyBorder="1" applyAlignment="1">
      <alignment horizontal="centerContinuous"/>
    </xf>
    <xf numFmtId="0" fontId="3" fillId="0" borderId="124" xfId="0" applyFont="1" applyBorder="1" applyAlignment="1">
      <alignment horizontal="centerContinuous"/>
    </xf>
    <xf numFmtId="0" fontId="0" fillId="0" borderId="12" xfId="0" applyBorder="1" applyAlignment="1">
      <alignment horizontal="centerContinuous"/>
    </xf>
    <xf numFmtId="0" fontId="38" fillId="0" borderId="37" xfId="0" applyFont="1" applyBorder="1"/>
    <xf numFmtId="0" fontId="38" fillId="0" borderId="38" xfId="0" applyFont="1" applyBorder="1"/>
    <xf numFmtId="0" fontId="26" fillId="0" borderId="38" xfId="0" applyFont="1" applyBorder="1" applyAlignment="1">
      <alignment horizontal="center"/>
    </xf>
    <xf numFmtId="0" fontId="38" fillId="0" borderId="54" xfId="0" applyFont="1" applyBorder="1"/>
    <xf numFmtId="0" fontId="26" fillId="0" borderId="47" xfId="0" applyFont="1" applyBorder="1" applyAlignment="1">
      <alignment horizontal="centerContinuous"/>
    </xf>
    <xf numFmtId="0" fontId="26" fillId="0" borderId="38" xfId="0" applyFont="1" applyBorder="1" applyAlignment="1">
      <alignment horizontal="centerContinuous"/>
    </xf>
    <xf numFmtId="0" fontId="0" fillId="0" borderId="38" xfId="0" applyBorder="1" applyAlignment="1">
      <alignment horizontal="centerContinuous"/>
    </xf>
    <xf numFmtId="0" fontId="0" fillId="0" borderId="39" xfId="0" applyBorder="1" applyAlignment="1">
      <alignment horizontal="centerContinuous"/>
    </xf>
    <xf numFmtId="0" fontId="3" fillId="0" borderId="15" xfId="0" applyFont="1" applyBorder="1"/>
    <xf numFmtId="0" fontId="0" fillId="0" borderId="125" xfId="0" applyBorder="1"/>
    <xf numFmtId="0" fontId="3" fillId="0" borderId="8" xfId="0" applyFont="1" applyBorder="1" applyAlignment="1">
      <alignment horizontal="center"/>
    </xf>
    <xf numFmtId="0" fontId="0" fillId="0" borderId="48" xfId="0" applyBorder="1"/>
    <xf numFmtId="0" fontId="3" fillId="0" borderId="126" xfId="0" applyFont="1" applyBorder="1"/>
    <xf numFmtId="0" fontId="0" fillId="0" borderId="80" xfId="0" applyBorder="1"/>
    <xf numFmtId="0" fontId="0" fillId="0" borderId="75" xfId="0" applyBorder="1"/>
    <xf numFmtId="0" fontId="0" fillId="0" borderId="37" xfId="0" applyBorder="1"/>
    <xf numFmtId="0" fontId="0" fillId="0" borderId="54" xfId="0" applyBorder="1" applyAlignment="1">
      <alignment horizontal="center"/>
    </xf>
    <xf numFmtId="2" fontId="55" fillId="0" borderId="3" xfId="0" applyNumberFormat="1" applyFont="1" applyBorder="1" applyAlignment="1" applyProtection="1">
      <alignment horizontal="center"/>
      <protection locked="0"/>
    </xf>
    <xf numFmtId="0" fontId="0" fillId="0" borderId="38" xfId="0" applyBorder="1"/>
    <xf numFmtId="170" fontId="0" fillId="0" borderId="39" xfId="0" applyNumberFormat="1" applyBorder="1" applyAlignment="1">
      <alignment horizontal="center"/>
    </xf>
    <xf numFmtId="0" fontId="0" fillId="0" borderId="13" xfId="0" applyBorder="1" applyAlignment="1">
      <alignment horizontal="center"/>
    </xf>
    <xf numFmtId="0" fontId="60" fillId="0" borderId="0" xfId="0" applyFont="1" applyBorder="1"/>
    <xf numFmtId="0" fontId="3" fillId="0" borderId="20" xfId="0" applyFont="1" applyBorder="1" applyAlignment="1">
      <alignment horizontal="center"/>
    </xf>
    <xf numFmtId="0" fontId="0" fillId="0" borderId="81" xfId="0" applyBorder="1" applyAlignment="1">
      <alignment horizontal="center"/>
    </xf>
    <xf numFmtId="171" fontId="0" fillId="0" borderId="40" xfId="0" applyNumberFormat="1" applyBorder="1" applyAlignment="1">
      <alignment horizontal="left"/>
    </xf>
    <xf numFmtId="0" fontId="0" fillId="0" borderId="20" xfId="0" applyBorder="1" applyAlignment="1">
      <alignment horizontal="center"/>
    </xf>
    <xf numFmtId="2" fontId="55" fillId="0" borderId="1" xfId="0" applyNumberFormat="1" applyFont="1" applyBorder="1" applyAlignment="1" applyProtection="1">
      <alignment horizontal="center"/>
      <protection locked="0"/>
    </xf>
    <xf numFmtId="170" fontId="0" fillId="0" borderId="43" xfId="0" applyNumberFormat="1" applyBorder="1" applyAlignment="1">
      <alignment horizontal="center"/>
    </xf>
    <xf numFmtId="0" fontId="0" fillId="0" borderId="52" xfId="0" applyBorder="1" applyAlignment="1">
      <alignment horizontal="center"/>
    </xf>
    <xf numFmtId="0" fontId="0" fillId="0" borderId="51" xfId="0" applyBorder="1" applyAlignment="1">
      <alignment horizontal="center"/>
    </xf>
    <xf numFmtId="0" fontId="0" fillId="0" borderId="0" xfId="0" applyBorder="1" applyAlignment="1"/>
    <xf numFmtId="171" fontId="0" fillId="0" borderId="42" xfId="0" quotePrefix="1" applyNumberFormat="1" applyBorder="1" applyAlignment="1">
      <alignment horizontal="left"/>
    </xf>
    <xf numFmtId="0" fontId="0" fillId="0" borderId="45" xfId="0" applyBorder="1" applyAlignment="1">
      <alignment horizontal="center"/>
    </xf>
    <xf numFmtId="0" fontId="0" fillId="0" borderId="42" xfId="0" applyBorder="1"/>
    <xf numFmtId="0" fontId="0" fillId="0" borderId="22" xfId="0" applyBorder="1" applyAlignment="1">
      <alignment horizontal="center"/>
    </xf>
    <xf numFmtId="170" fontId="0" fillId="0" borderId="22" xfId="0" applyNumberFormat="1" applyBorder="1" applyAlignment="1">
      <alignment horizontal="left"/>
    </xf>
    <xf numFmtId="0" fontId="0" fillId="0" borderId="59" xfId="0" applyBorder="1" applyAlignment="1">
      <alignment horizontal="center"/>
    </xf>
    <xf numFmtId="2" fontId="0" fillId="0" borderId="22" xfId="0" applyNumberFormat="1" applyBorder="1" applyAlignment="1">
      <alignment horizontal="left"/>
    </xf>
    <xf numFmtId="0" fontId="0" fillId="0" borderId="43" xfId="0" applyBorder="1"/>
    <xf numFmtId="2" fontId="0" fillId="0" borderId="1" xfId="0" applyNumberFormat="1" applyBorder="1" applyAlignment="1">
      <alignment horizontal="center"/>
    </xf>
    <xf numFmtId="0" fontId="60" fillId="0" borderId="44" xfId="0" applyFont="1" applyBorder="1" applyAlignment="1">
      <alignment horizontal="center"/>
    </xf>
    <xf numFmtId="171" fontId="0" fillId="0" borderId="15" xfId="0" quotePrefix="1" applyNumberFormat="1" applyBorder="1" applyAlignment="1">
      <alignment horizontal="left"/>
    </xf>
    <xf numFmtId="0" fontId="0" fillId="0" borderId="125" xfId="0" applyBorder="1" applyAlignment="1">
      <alignment horizontal="center"/>
    </xf>
    <xf numFmtId="2" fontId="0" fillId="0" borderId="8" xfId="0" applyNumberFormat="1" applyBorder="1" applyAlignment="1">
      <alignment horizontal="center"/>
    </xf>
    <xf numFmtId="0" fontId="60" fillId="0" borderId="48" xfId="0" applyFont="1" applyBorder="1" applyAlignment="1">
      <alignment horizontal="center"/>
    </xf>
    <xf numFmtId="0" fontId="0" fillId="0" borderId="51" xfId="0" applyBorder="1"/>
    <xf numFmtId="0" fontId="0" fillId="0" borderId="0" xfId="0" quotePrefix="1" applyBorder="1"/>
    <xf numFmtId="170" fontId="0" fillId="0" borderId="0" xfId="0" quotePrefix="1" applyNumberFormat="1" applyBorder="1" applyAlignment="1">
      <alignment horizontal="left"/>
    </xf>
    <xf numFmtId="2" fontId="0" fillId="0" borderId="0" xfId="0" applyNumberFormat="1" applyBorder="1" applyAlignment="1">
      <alignment horizontal="left"/>
    </xf>
    <xf numFmtId="0" fontId="63" fillId="0" borderId="1" xfId="0" applyFont="1" applyBorder="1" applyAlignment="1">
      <alignment horizontal="center"/>
    </xf>
    <xf numFmtId="0" fontId="0" fillId="0" borderId="1" xfId="0" applyBorder="1" applyAlignment="1">
      <alignment horizontal="center"/>
    </xf>
    <xf numFmtId="172" fontId="0" fillId="0" borderId="1" xfId="0" applyNumberFormat="1" applyBorder="1" applyAlignment="1">
      <alignment horizontal="center"/>
    </xf>
    <xf numFmtId="172" fontId="0" fillId="0" borderId="0" xfId="0" applyNumberFormat="1" applyBorder="1"/>
    <xf numFmtId="172" fontId="0" fillId="0" borderId="51" xfId="0" applyNumberFormat="1" applyBorder="1" applyAlignment="1">
      <alignment horizontal="center"/>
    </xf>
    <xf numFmtId="170" fontId="0" fillId="0" borderId="0" xfId="0" applyNumberFormat="1" applyBorder="1" applyAlignment="1">
      <alignment horizontal="left"/>
    </xf>
    <xf numFmtId="0" fontId="65" fillId="0" borderId="81" xfId="0" applyFont="1" applyBorder="1" applyAlignment="1">
      <alignment horizontal="centerContinuous"/>
    </xf>
    <xf numFmtId="0" fontId="0" fillId="0" borderId="0" xfId="0" applyBorder="1" applyAlignment="1">
      <alignment horizontal="centerContinuous"/>
    </xf>
    <xf numFmtId="2" fontId="0" fillId="0" borderId="0" xfId="0" applyNumberFormat="1" applyBorder="1" applyAlignment="1">
      <alignment horizontal="centerContinuous"/>
    </xf>
    <xf numFmtId="0" fontId="0" fillId="0" borderId="14" xfId="0" applyBorder="1" applyAlignment="1">
      <alignment horizontal="centerContinuous"/>
    </xf>
    <xf numFmtId="171" fontId="0" fillId="0" borderId="10" xfId="0" applyNumberFormat="1" applyBorder="1" applyAlignment="1">
      <alignment horizontal="left"/>
    </xf>
    <xf numFmtId="2" fontId="0" fillId="0" borderId="123" xfId="0" applyNumberFormat="1" applyBorder="1"/>
    <xf numFmtId="0" fontId="60" fillId="0" borderId="124" xfId="0" applyFont="1" applyBorder="1" applyAlignment="1">
      <alignment horizontal="center"/>
    </xf>
    <xf numFmtId="170" fontId="0" fillId="0" borderId="12" xfId="0" applyNumberFormat="1" applyBorder="1" applyAlignment="1">
      <alignment horizontal="center"/>
    </xf>
    <xf numFmtId="171" fontId="0" fillId="0" borderId="15" xfId="0" applyNumberFormat="1" applyBorder="1" applyAlignment="1">
      <alignment horizontal="left"/>
    </xf>
    <xf numFmtId="2" fontId="0" fillId="0" borderId="125" xfId="0" applyNumberFormat="1" applyBorder="1" applyAlignment="1">
      <alignment horizontal="center"/>
    </xf>
    <xf numFmtId="0" fontId="0" fillId="0" borderId="48" xfId="0" applyBorder="1" applyAlignment="1">
      <alignment horizontal="center"/>
    </xf>
    <xf numFmtId="170" fontId="0" fillId="0" borderId="17" xfId="0" applyNumberFormat="1" applyBorder="1" applyAlignment="1">
      <alignment horizontal="center"/>
    </xf>
    <xf numFmtId="0" fontId="0" fillId="0" borderId="42" xfId="0" applyBorder="1" applyAlignment="1">
      <alignment horizontal="center"/>
    </xf>
    <xf numFmtId="2" fontId="0" fillId="0" borderId="0" xfId="0" quotePrefix="1" applyNumberFormat="1" applyBorder="1" applyAlignment="1">
      <alignment horizontal="left"/>
    </xf>
    <xf numFmtId="171" fontId="0" fillId="0" borderId="37" xfId="0" quotePrefix="1" applyNumberFormat="1" applyBorder="1" applyAlignment="1">
      <alignment horizontal="left"/>
    </xf>
    <xf numFmtId="0" fontId="60" fillId="0" borderId="47" xfId="0" applyFont="1" applyBorder="1" applyAlignment="1">
      <alignment horizontal="center"/>
    </xf>
    <xf numFmtId="0" fontId="3" fillId="0" borderId="80" xfId="0" applyFont="1" applyBorder="1"/>
    <xf numFmtId="171" fontId="0" fillId="0" borderId="40" xfId="0" quotePrefix="1" applyNumberFormat="1" applyBorder="1" applyAlignment="1">
      <alignment horizontal="left"/>
    </xf>
    <xf numFmtId="0" fontId="66" fillId="0" borderId="19" xfId="0" applyFont="1" applyBorder="1"/>
    <xf numFmtId="0" fontId="0" fillId="0" borderId="19" xfId="0" applyBorder="1"/>
    <xf numFmtId="0" fontId="60" fillId="0" borderId="44" xfId="0" applyFont="1" applyBorder="1" applyAlignment="1">
      <alignment horizontal="left"/>
    </xf>
    <xf numFmtId="170" fontId="0" fillId="0" borderId="41" xfId="0" applyNumberFormat="1" applyBorder="1" applyAlignment="1">
      <alignment horizontal="center"/>
    </xf>
    <xf numFmtId="0" fontId="9" fillId="0" borderId="22" xfId="0" applyFont="1" applyBorder="1" applyAlignment="1"/>
    <xf numFmtId="0" fontId="54" fillId="0" borderId="22" xfId="0" applyFont="1" applyBorder="1"/>
    <xf numFmtId="0" fontId="54" fillId="0" borderId="19" xfId="0" applyFont="1" applyBorder="1"/>
    <xf numFmtId="0" fontId="54" fillId="0" borderId="19" xfId="0" quotePrefix="1" applyFont="1" applyBorder="1" applyAlignment="1">
      <alignment horizontal="center"/>
    </xf>
    <xf numFmtId="0" fontId="0" fillId="0" borderId="18" xfId="0" applyBorder="1" applyAlignment="1">
      <alignment horizontal="left"/>
    </xf>
    <xf numFmtId="0" fontId="0" fillId="0" borderId="0" xfId="0" quotePrefix="1" applyBorder="1" applyAlignment="1">
      <alignment horizontal="center"/>
    </xf>
    <xf numFmtId="172" fontId="0" fillId="0" borderId="45" xfId="0" applyNumberFormat="1" applyBorder="1" applyAlignment="1">
      <alignment horizontal="center"/>
    </xf>
    <xf numFmtId="0" fontId="0" fillId="0" borderId="81" xfId="0" applyBorder="1"/>
    <xf numFmtId="0" fontId="0" fillId="0" borderId="126" xfId="0" applyBorder="1"/>
    <xf numFmtId="1" fontId="0" fillId="0" borderId="0" xfId="0" quotePrefix="1" applyNumberFormat="1" applyBorder="1" applyAlignment="1">
      <alignment horizontal="left"/>
    </xf>
    <xf numFmtId="0" fontId="38" fillId="0" borderId="13" xfId="0" applyFont="1" applyBorder="1"/>
    <xf numFmtId="0" fontId="0" fillId="0" borderId="22" xfId="0" quotePrefix="1" applyBorder="1" applyAlignment="1">
      <alignment horizontal="center"/>
    </xf>
    <xf numFmtId="0" fontId="38" fillId="0" borderId="16" xfId="0" applyFont="1" applyBorder="1"/>
    <xf numFmtId="0" fontId="23" fillId="0" borderId="0" xfId="3"/>
    <xf numFmtId="0" fontId="23" fillId="0" borderId="0" xfId="3" quotePrefix="1"/>
    <xf numFmtId="0" fontId="0" fillId="0" borderId="0" xfId="0"/>
    <xf numFmtId="0" fontId="69" fillId="0" borderId="0" xfId="0" applyFont="1"/>
    <xf numFmtId="0" fontId="70" fillId="0" borderId="0" xfId="0" applyFont="1" applyBorder="1" applyAlignment="1">
      <alignment horizontal="left" vertical="center" readingOrder="1"/>
    </xf>
    <xf numFmtId="0" fontId="70" fillId="0" borderId="16" xfId="0" applyFont="1" applyBorder="1" applyAlignment="1">
      <alignment horizontal="left" vertical="center" readingOrder="1"/>
    </xf>
    <xf numFmtId="0" fontId="68" fillId="0" borderId="46" xfId="0" applyFont="1" applyBorder="1"/>
    <xf numFmtId="0" fontId="0" fillId="0" borderId="129" xfId="0" applyBorder="1"/>
    <xf numFmtId="0" fontId="0" fillId="0" borderId="62" xfId="0" applyBorder="1"/>
    <xf numFmtId="0" fontId="0" fillId="0" borderId="63" xfId="0" applyBorder="1"/>
    <xf numFmtId="0" fontId="68" fillId="0" borderId="129" xfId="0" applyFont="1" applyBorder="1"/>
    <xf numFmtId="173" fontId="68" fillId="0" borderId="62" xfId="0" applyNumberFormat="1" applyFont="1" applyBorder="1"/>
    <xf numFmtId="173" fontId="68" fillId="0" borderId="14" xfId="0" applyNumberFormat="1" applyFont="1" applyBorder="1"/>
    <xf numFmtId="173" fontId="68" fillId="0" borderId="63" xfId="0" applyNumberFormat="1" applyFont="1" applyBorder="1"/>
    <xf numFmtId="173" fontId="68" fillId="0" borderId="17" xfId="0" applyNumberFormat="1" applyFont="1" applyBorder="1"/>
    <xf numFmtId="0" fontId="0" fillId="0" borderId="0" xfId="0"/>
    <xf numFmtId="0" fontId="9" fillId="0" borderId="127" xfId="6" applyBorder="1" applyAlignment="1">
      <alignment wrapText="1"/>
    </xf>
    <xf numFmtId="0" fontId="9" fillId="0" borderId="5" xfId="6" applyBorder="1" applyAlignment="1">
      <alignment wrapText="1"/>
    </xf>
    <xf numFmtId="0" fontId="9" fillId="0" borderId="6" xfId="6" applyBorder="1" applyAlignment="1">
      <alignment wrapText="1"/>
    </xf>
    <xf numFmtId="0" fontId="9" fillId="0" borderId="7" xfId="6" applyBorder="1" applyAlignment="1">
      <alignment wrapText="1"/>
    </xf>
    <xf numFmtId="0" fontId="9" fillId="0" borderId="9" xfId="6" applyBorder="1" applyAlignment="1">
      <alignment wrapText="1"/>
    </xf>
    <xf numFmtId="0" fontId="9" fillId="0" borderId="18" xfId="6" applyBorder="1" applyAlignment="1">
      <alignment wrapText="1"/>
    </xf>
    <xf numFmtId="0" fontId="9" fillId="0" borderId="128" xfId="6" applyBorder="1" applyAlignment="1">
      <alignment wrapText="1"/>
    </xf>
    <xf numFmtId="0" fontId="9" fillId="0" borderId="20" xfId="6" applyBorder="1" applyAlignment="1">
      <alignment wrapText="1"/>
    </xf>
    <xf numFmtId="0" fontId="9" fillId="0" borderId="56" xfId="6" applyBorder="1" applyAlignment="1">
      <alignment wrapText="1"/>
    </xf>
    <xf numFmtId="0" fontId="9" fillId="0" borderId="52" xfId="6" applyBorder="1" applyAlignment="1">
      <alignment wrapText="1"/>
    </xf>
    <xf numFmtId="0" fontId="9" fillId="0" borderId="2" xfId="6" applyBorder="1" applyAlignment="1">
      <alignment wrapText="1"/>
    </xf>
    <xf numFmtId="0" fontId="9" fillId="0" borderId="47" xfId="6" applyBorder="1" applyAlignment="1">
      <alignment wrapText="1"/>
    </xf>
    <xf numFmtId="0" fontId="9" fillId="0" borderId="54" xfId="6" applyBorder="1" applyAlignment="1">
      <alignment wrapText="1"/>
    </xf>
    <xf numFmtId="0" fontId="9" fillId="0" borderId="4" xfId="6" applyBorder="1" applyAlignment="1">
      <alignment wrapText="1"/>
    </xf>
    <xf numFmtId="0" fontId="9" fillId="0" borderId="130" xfId="6" applyBorder="1" applyAlignment="1">
      <alignment wrapText="1"/>
    </xf>
    <xf numFmtId="0" fontId="28" fillId="0" borderId="129" xfId="6" applyFont="1" applyBorder="1" applyAlignment="1">
      <alignment horizontal="center"/>
    </xf>
    <xf numFmtId="0" fontId="9" fillId="0" borderId="63" xfId="6" applyBorder="1" applyAlignment="1">
      <alignment horizontal="center" wrapText="1"/>
    </xf>
    <xf numFmtId="0" fontId="2" fillId="0" borderId="0" xfId="0" quotePrefix="1" applyFont="1" applyAlignment="1">
      <alignment horizontal="center"/>
    </xf>
    <xf numFmtId="0" fontId="2" fillId="0" borderId="0" xfId="0" applyFont="1" applyAlignment="1">
      <alignment horizontal="center"/>
    </xf>
    <xf numFmtId="0" fontId="3" fillId="0" borderId="0" xfId="0" quotePrefix="1" applyFont="1" applyAlignment="1">
      <alignment horizontal="center"/>
    </xf>
    <xf numFmtId="0" fontId="3" fillId="0" borderId="0" xfId="0" applyFont="1" applyAlignment="1">
      <alignment horizontal="center"/>
    </xf>
    <xf numFmtId="0" fontId="4" fillId="4" borderId="18" xfId="0" applyFont="1" applyFill="1" applyBorder="1" applyAlignment="1" applyProtection="1">
      <alignment horizontal="center"/>
      <protection locked="0"/>
    </xf>
    <xf numFmtId="0" fontId="4" fillId="4" borderId="19" xfId="0" applyFont="1" applyFill="1" applyBorder="1" applyAlignment="1" applyProtection="1">
      <alignment horizontal="center"/>
      <protection locked="0"/>
    </xf>
    <xf numFmtId="0" fontId="4" fillId="4" borderId="20" xfId="0" applyFont="1" applyFill="1" applyBorder="1" applyAlignment="1" applyProtection="1">
      <alignment horizontal="center"/>
      <protection locked="0"/>
    </xf>
    <xf numFmtId="0" fontId="11" fillId="0" borderId="0" xfId="0" applyFont="1" applyAlignment="1">
      <alignment horizontal="center" vertical="center"/>
    </xf>
    <xf numFmtId="0" fontId="11" fillId="0" borderId="23" xfId="0" applyFont="1" applyBorder="1" applyAlignment="1">
      <alignment horizontal="center" vertical="center"/>
    </xf>
    <xf numFmtId="0" fontId="11" fillId="0" borderId="0" xfId="0" applyFont="1" applyBorder="1" applyAlignment="1">
      <alignment horizontal="center" vertical="center"/>
    </xf>
    <xf numFmtId="0" fontId="11" fillId="0" borderId="24" xfId="0" applyFont="1" applyBorder="1" applyAlignment="1">
      <alignment horizontal="center" vertical="center"/>
    </xf>
    <xf numFmtId="0" fontId="12" fillId="0" borderId="0" xfId="0" applyFont="1" applyAlignment="1">
      <alignment horizontal="center" vertical="center"/>
    </xf>
    <xf numFmtId="0" fontId="11" fillId="0" borderId="0" xfId="0" applyFont="1" applyAlignment="1">
      <alignment horizontal="center" vertical="center" wrapText="1"/>
    </xf>
    <xf numFmtId="0" fontId="11" fillId="0" borderId="22" xfId="0" applyFont="1" applyBorder="1" applyAlignment="1">
      <alignment horizontal="center" vertical="center"/>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7" xfId="0" applyFont="1" applyBorder="1" applyAlignment="1">
      <alignment horizontal="center" vertical="center" wrapText="1"/>
    </xf>
    <xf numFmtId="0" fontId="14" fillId="0" borderId="22" xfId="0" applyFont="1" applyBorder="1" applyAlignment="1">
      <alignment horizontal="center" vertical="center"/>
    </xf>
    <xf numFmtId="0" fontId="13" fillId="0" borderId="0" xfId="0" applyFont="1" applyAlignment="1">
      <alignment horizontal="center" vertical="center"/>
    </xf>
    <xf numFmtId="0" fontId="15" fillId="6" borderId="0" xfId="0" applyFont="1" applyFill="1" applyAlignment="1">
      <alignment horizontal="center"/>
    </xf>
    <xf numFmtId="0" fontId="0" fillId="0" borderId="6" xfId="0" applyBorder="1" applyAlignment="1">
      <alignment horizontal="center" wrapText="1"/>
    </xf>
    <xf numFmtId="0" fontId="0" fillId="0" borderId="9" xfId="0" applyBorder="1" applyAlignment="1">
      <alignment horizontal="center" wrapText="1"/>
    </xf>
    <xf numFmtId="0" fontId="26" fillId="0" borderId="35" xfId="0" applyFont="1" applyBorder="1" applyAlignment="1">
      <alignment horizontal="right" vertical="center"/>
    </xf>
    <xf numFmtId="0" fontId="26" fillId="0" borderId="67" xfId="0" applyFont="1" applyBorder="1" applyAlignment="1">
      <alignment horizontal="right" vertical="center"/>
    </xf>
    <xf numFmtId="0" fontId="26" fillId="0" borderId="35" xfId="0" applyFont="1" applyFill="1" applyBorder="1" applyAlignment="1">
      <alignment horizontal="center"/>
    </xf>
    <xf numFmtId="0" fontId="26" fillId="0" borderId="46" xfId="0" applyFont="1" applyFill="1" applyBorder="1" applyAlignment="1">
      <alignment horizontal="center"/>
    </xf>
    <xf numFmtId="0" fontId="26" fillId="0" borderId="36" xfId="0" applyFont="1" applyFill="1" applyBorder="1" applyAlignment="1">
      <alignment horizontal="center"/>
    </xf>
    <xf numFmtId="0" fontId="26" fillId="0" borderId="61" xfId="0" applyFont="1" applyBorder="1" applyAlignment="1">
      <alignment horizontal="center" vertical="center"/>
    </xf>
    <xf numFmtId="0" fontId="26" fillId="0" borderId="62" xfId="0" applyFont="1" applyBorder="1" applyAlignment="1">
      <alignment horizontal="center" vertical="center"/>
    </xf>
    <xf numFmtId="0" fontId="26" fillId="0" borderId="63" xfId="0" applyFont="1" applyBorder="1" applyAlignment="1">
      <alignment horizontal="center" vertical="center"/>
    </xf>
    <xf numFmtId="0" fontId="0" fillId="0" borderId="35" xfId="0" applyBorder="1" applyAlignment="1">
      <alignment horizontal="center" wrapText="1"/>
    </xf>
    <xf numFmtId="0" fontId="0" fillId="0" borderId="46" xfId="0" applyBorder="1" applyAlignment="1">
      <alignment horizontal="center" wrapText="1"/>
    </xf>
    <xf numFmtId="0" fontId="0" fillId="0" borderId="36" xfId="0" applyBorder="1" applyAlignment="1">
      <alignment horizontal="center" wrapText="1"/>
    </xf>
    <xf numFmtId="0" fontId="36" fillId="9" borderId="70" xfId="0" applyFont="1" applyFill="1" applyBorder="1" applyAlignment="1">
      <alignment horizontal="left" vertical="center"/>
    </xf>
    <xf numFmtId="0" fontId="36" fillId="9" borderId="71" xfId="0" applyFont="1" applyFill="1" applyBorder="1" applyAlignment="1">
      <alignment horizontal="left" vertical="center"/>
    </xf>
    <xf numFmtId="0" fontId="36" fillId="9" borderId="72" xfId="0" applyFont="1" applyFill="1" applyBorder="1" applyAlignment="1">
      <alignment horizontal="left" vertical="center"/>
    </xf>
    <xf numFmtId="0" fontId="36" fillId="9" borderId="73" xfId="0" applyFont="1" applyFill="1" applyBorder="1" applyAlignment="1">
      <alignment horizontal="left" vertical="center"/>
    </xf>
    <xf numFmtId="0" fontId="36" fillId="9" borderId="34" xfId="0" applyFont="1" applyFill="1" applyBorder="1" applyAlignment="1">
      <alignment horizontal="left" vertical="center"/>
    </xf>
    <xf numFmtId="0" fontId="36" fillId="9" borderId="74" xfId="0" applyFont="1" applyFill="1" applyBorder="1" applyAlignment="1">
      <alignment horizontal="left" vertical="center"/>
    </xf>
    <xf numFmtId="0" fontId="7" fillId="9" borderId="37" xfId="0" applyFont="1" applyFill="1" applyBorder="1" applyAlignment="1">
      <alignment horizontal="center" vertical="center" wrapText="1"/>
    </xf>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9" fillId="0" borderId="35" xfId="0" applyFont="1" applyBorder="1" applyAlignment="1">
      <alignment horizontal="center" wrapText="1"/>
    </xf>
    <xf numFmtId="0" fontId="9" fillId="0" borderId="46" xfId="0" applyFont="1" applyBorder="1" applyAlignment="1">
      <alignment horizontal="center" wrapText="1"/>
    </xf>
    <xf numFmtId="0" fontId="9" fillId="0" borderId="36" xfId="0" applyFont="1" applyBorder="1" applyAlignment="1">
      <alignment horizontal="center" wrapText="1"/>
    </xf>
    <xf numFmtId="0" fontId="43" fillId="10" borderId="21" xfId="0" applyFont="1" applyFill="1" applyBorder="1" applyAlignment="1" applyProtection="1">
      <alignment horizontal="center" vertical="center"/>
      <protection locked="0"/>
    </xf>
    <xf numFmtId="0" fontId="41" fillId="11" borderId="21" xfId="0" applyFont="1" applyFill="1" applyBorder="1" applyAlignment="1" applyProtection="1">
      <alignment horizontal="center" vertical="center"/>
      <protection locked="0"/>
    </xf>
    <xf numFmtId="0" fontId="41" fillId="11" borderId="49" xfId="0" applyFont="1" applyFill="1" applyBorder="1" applyAlignment="1" applyProtection="1">
      <alignment horizontal="center" vertical="center"/>
      <protection locked="0"/>
    </xf>
    <xf numFmtId="0" fontId="41" fillId="10" borderId="21" xfId="0" applyFont="1" applyFill="1" applyBorder="1" applyAlignment="1" applyProtection="1">
      <alignment horizontal="center"/>
      <protection locked="0"/>
    </xf>
    <xf numFmtId="0" fontId="41" fillId="10" borderId="21" xfId="0" applyFont="1" applyFill="1" applyBorder="1" applyAlignment="1" applyProtection="1">
      <alignment horizontal="center" vertical="center"/>
      <protection locked="0"/>
    </xf>
    <xf numFmtId="0" fontId="42" fillId="11" borderId="21" xfId="0" applyFont="1" applyFill="1" applyBorder="1" applyAlignment="1" applyProtection="1">
      <alignment horizontal="center" vertical="center" textRotation="90"/>
      <protection locked="0"/>
    </xf>
    <xf numFmtId="0" fontId="3" fillId="0" borderId="117" xfId="4" applyFont="1" applyFill="1" applyBorder="1" applyAlignment="1">
      <alignment horizontal="center" vertical="center" wrapText="1"/>
    </xf>
    <xf numFmtId="0" fontId="3" fillId="0" borderId="118" xfId="4" applyFont="1" applyFill="1" applyBorder="1" applyAlignment="1">
      <alignment horizontal="center" vertical="center" wrapText="1"/>
    </xf>
    <xf numFmtId="0" fontId="3" fillId="0" borderId="119" xfId="4" applyFont="1" applyFill="1" applyBorder="1" applyAlignment="1">
      <alignment horizontal="center" vertical="center" wrapText="1"/>
    </xf>
    <xf numFmtId="0" fontId="3" fillId="0" borderId="120" xfId="4" applyFont="1" applyFill="1" applyBorder="1" applyAlignment="1">
      <alignment horizontal="center" vertical="center" textRotation="90"/>
    </xf>
    <xf numFmtId="0" fontId="3" fillId="0" borderId="121" xfId="4" applyFont="1" applyFill="1" applyBorder="1" applyAlignment="1">
      <alignment horizontal="center" vertical="center" textRotation="90"/>
    </xf>
    <xf numFmtId="0" fontId="3" fillId="0" borderId="122" xfId="4" applyFont="1" applyFill="1" applyBorder="1" applyAlignment="1">
      <alignment horizontal="center" vertical="center" textRotation="90"/>
    </xf>
    <xf numFmtId="0" fontId="65" fillId="0" borderId="44" xfId="0" applyFont="1" applyBorder="1" applyAlignment="1">
      <alignment horizontal="center"/>
    </xf>
    <xf numFmtId="0" fontId="65" fillId="0" borderId="22" xfId="0" applyFont="1" applyBorder="1" applyAlignment="1">
      <alignment horizontal="center"/>
    </xf>
    <xf numFmtId="0" fontId="65" fillId="0" borderId="43" xfId="0" applyFont="1" applyBorder="1" applyAlignment="1">
      <alignment horizontal="center"/>
    </xf>
    <xf numFmtId="0" fontId="22" fillId="0" borderId="3" xfId="0" applyFont="1" applyBorder="1" applyAlignment="1">
      <alignment horizontal="center"/>
    </xf>
    <xf numFmtId="0" fontId="22" fillId="0" borderId="4" xfId="0" applyFont="1" applyBorder="1" applyAlignment="1">
      <alignment horizontal="center"/>
    </xf>
  </cellXfs>
  <cellStyles count="7">
    <cellStyle name="Comma" xfId="1" builtinId="3"/>
    <cellStyle name="Hyperlink" xfId="3" builtinId="8"/>
    <cellStyle name="Hyperlink 2" xfId="5"/>
    <cellStyle name="Normal" xfId="0" builtinId="0"/>
    <cellStyle name="Normal 2" xfId="4"/>
    <cellStyle name="Normal 2 2" xfId="6"/>
    <cellStyle name="Percent" xfId="2" builtinId="5"/>
  </cellStyles>
  <dxfs count="5">
    <dxf>
      <border>
        <left style="thin">
          <color indexed="10"/>
        </left>
        <right style="thin">
          <color indexed="10"/>
        </right>
      </border>
    </dxf>
    <dxf>
      <fill>
        <patternFill>
          <bgColor indexed="62"/>
        </patternFill>
      </fill>
    </dxf>
    <dxf>
      <fill>
        <patternFill>
          <bgColor indexed="62"/>
        </patternFill>
      </fill>
      <border>
        <left style="thin">
          <color indexed="10"/>
        </left>
        <right style="thin">
          <color indexed="10"/>
        </right>
      </border>
    </dxf>
    <dxf>
      <border>
        <left style="thin">
          <color theme="5"/>
        </left>
        <right style="thin">
          <color theme="5"/>
        </right>
        <top style="thin">
          <color theme="5"/>
        </top>
      </border>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Prioritization</a:t>
            </a:r>
            <a:r>
              <a:rPr lang="en-US" baseline="0"/>
              <a:t> Matrix</a:t>
            </a:r>
            <a:endParaRPr lang="en-US"/>
          </a:p>
        </c:rich>
      </c:tx>
      <c:overlay val="0"/>
      <c:spPr>
        <a:noFill/>
        <a:ln>
          <a:noFill/>
        </a:ln>
        <a:effectLst/>
      </c:spPr>
    </c:title>
    <c:autoTitleDeleted val="0"/>
    <c:plotArea>
      <c:layout/>
      <c:scatterChart>
        <c:scatterStyle val="lineMarker"/>
        <c:varyColors val="0"/>
        <c:ser>
          <c:idx val="0"/>
          <c:order val="0"/>
          <c:tx>
            <c:strRef>
              <c:f>'[2]Project Prioritization Matrix'!$D$2</c:f>
              <c:strCache>
                <c:ptCount val="1"/>
                <c:pt idx="0">
                  <c:v>#REF!</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15DB715D-62A8-4D02-A702-171B1EBB2B0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92D9CB7C-4F56-4A57-9D5B-304BAA83AC3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tx>
                <c:rich>
                  <a:bodyPr/>
                  <a:lstStyle/>
                  <a:p>
                    <a:fld id="{9B24776B-10B7-4EE0-A054-A49305CA85F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tx>
                <c:rich>
                  <a:bodyPr/>
                  <a:lstStyle/>
                  <a:p>
                    <a:fld id="{20D0DA99-C343-4F47-B5A4-36DCDBEF474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tx>
                <c:rich>
                  <a:bodyPr/>
                  <a:lstStyle/>
                  <a:p>
                    <a:fld id="{BADCD7D7-7F50-442A-8F05-80C471F9E10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15:showLeaderLines val="0"/>
              </c:ext>
            </c:extLst>
          </c:dLbls>
          <c:xVal>
            <c:numRef>
              <c:f>'[2]Project Prioritization Matrix'!$C$3:$C$7</c:f>
              <c:numCache>
                <c:formatCode>General</c:formatCode>
                <c:ptCount val="5"/>
                <c:pt idx="0">
                  <c:v>0</c:v>
                </c:pt>
                <c:pt idx="1">
                  <c:v>0</c:v>
                </c:pt>
                <c:pt idx="2">
                  <c:v>0</c:v>
                </c:pt>
                <c:pt idx="3">
                  <c:v>0</c:v>
                </c:pt>
                <c:pt idx="4">
                  <c:v>0</c:v>
                </c:pt>
              </c:numCache>
            </c:numRef>
          </c:xVal>
          <c:yVal>
            <c:numRef>
              <c:f>'[2]Project Prioritization Matrix'!$D$3:$D$7</c:f>
              <c:numCache>
                <c:formatCode>General</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'Project Prioritization Matrix'!$B$3:$B$7</c15:f>
                <c15:dlblRangeCache>
                  <c:ptCount val="5"/>
                  <c:pt idx="0">
                    <c:v>Project 1</c:v>
                  </c:pt>
                  <c:pt idx="1">
                    <c:v>Project 2</c:v>
                  </c:pt>
                  <c:pt idx="2">
                    <c:v>Project 3</c:v>
                  </c:pt>
                  <c:pt idx="3">
                    <c:v>Project 4</c:v>
                  </c:pt>
                  <c:pt idx="4">
                    <c:v>Project 5</c:v>
                  </c:pt>
                </c15:dlblRangeCache>
              </c15:datalabelsRange>
            </c:ext>
          </c:extLst>
        </c:ser>
        <c:dLbls>
          <c:showLegendKey val="0"/>
          <c:showVal val="0"/>
          <c:showCatName val="0"/>
          <c:showSerName val="0"/>
          <c:showPercent val="0"/>
          <c:showBubbleSize val="0"/>
        </c:dLbls>
        <c:axId val="90401792"/>
        <c:axId val="91886720"/>
      </c:scatterChart>
      <c:valAx>
        <c:axId val="90401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86720"/>
        <c:crosses val="autoZero"/>
        <c:crossBetween val="midCat"/>
      </c:valAx>
      <c:valAx>
        <c:axId val="9188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Benefit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1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png"/><Relationship Id="rId5" Type="http://schemas.openxmlformats.org/officeDocument/2006/relationships/image" Target="../media/image24.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jpe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30</xdr:row>
      <xdr:rowOff>104775</xdr:rowOff>
    </xdr:from>
    <xdr:to>
      <xdr:col>6</xdr:col>
      <xdr:colOff>485775</xdr:colOff>
      <xdr:row>43</xdr:row>
      <xdr:rowOff>0</xdr:rowOff>
    </xdr:to>
    <xdr:pic>
      <xdr:nvPicPr>
        <xdr:cNvPr id="2" name="Picture 2" descr="VSM-Icons_Manufacturing-ProcessTr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425" t="3297" r="4425" b="3297"/>
        <a:stretch>
          <a:fillRect/>
        </a:stretch>
      </xdr:blipFill>
      <xdr:spPr bwMode="auto">
        <a:xfrm>
          <a:off x="3352800" y="3533775"/>
          <a:ext cx="9810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152400</xdr:colOff>
      <xdr:row>31</xdr:row>
      <xdr:rowOff>0</xdr:rowOff>
    </xdr:from>
    <xdr:to>
      <xdr:col>9</xdr:col>
      <xdr:colOff>485775</xdr:colOff>
      <xdr:row>42</xdr:row>
      <xdr:rowOff>76200</xdr:rowOff>
    </xdr:to>
    <xdr:pic>
      <xdr:nvPicPr>
        <xdr:cNvPr id="3" name="Picture 3" descr="VSM-Icons_Outside-SourcesTr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425" t="4347" r="4425" b="4347"/>
        <a:stretch>
          <a:fillRect/>
        </a:stretch>
      </xdr:blipFill>
      <xdr:spPr bwMode="auto">
        <a:xfrm>
          <a:off x="5295900" y="3543300"/>
          <a:ext cx="9810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400050</xdr:colOff>
      <xdr:row>25</xdr:row>
      <xdr:rowOff>28575</xdr:rowOff>
    </xdr:from>
    <xdr:to>
      <xdr:col>12</xdr:col>
      <xdr:colOff>247650</xdr:colOff>
      <xdr:row>31</xdr:row>
      <xdr:rowOff>76200</xdr:rowOff>
    </xdr:to>
    <xdr:pic>
      <xdr:nvPicPr>
        <xdr:cNvPr id="4" name="Picture 5" descr="VSM-Icons_Inventory"/>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9735" t="5746" r="9735" b="3448"/>
        <a:stretch>
          <a:fillRect/>
        </a:stretch>
      </xdr:blipFill>
      <xdr:spPr bwMode="auto">
        <a:xfrm>
          <a:off x="7486650" y="2886075"/>
          <a:ext cx="4953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104775</xdr:colOff>
      <xdr:row>4</xdr:row>
      <xdr:rowOff>104775</xdr:rowOff>
    </xdr:from>
    <xdr:to>
      <xdr:col>15</xdr:col>
      <xdr:colOff>542925</xdr:colOff>
      <xdr:row>16</xdr:row>
      <xdr:rowOff>38100</xdr:rowOff>
    </xdr:to>
    <xdr:pic>
      <xdr:nvPicPr>
        <xdr:cNvPr id="5" name="Picture 7" descr="VSM-Icons_Outside-SourcesTr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425" t="4494" r="3540" b="4494"/>
        <a:stretch>
          <a:fillRect/>
        </a:stretch>
      </xdr:blipFill>
      <xdr:spPr bwMode="auto">
        <a:xfrm>
          <a:off x="9134475" y="561975"/>
          <a:ext cx="10858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152400</xdr:colOff>
      <xdr:row>13</xdr:row>
      <xdr:rowOff>0</xdr:rowOff>
    </xdr:from>
    <xdr:to>
      <xdr:col>18</xdr:col>
      <xdr:colOff>485775</xdr:colOff>
      <xdr:row>24</xdr:row>
      <xdr:rowOff>76200</xdr:rowOff>
    </xdr:to>
    <xdr:pic>
      <xdr:nvPicPr>
        <xdr:cNvPr id="6" name="Picture 8" descr="VSM-Icons_Manufacturing-ProcessTra"/>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4425" t="4396" r="4425" b="3297"/>
        <a:stretch>
          <a:fillRect/>
        </a:stretch>
      </xdr:blipFill>
      <xdr:spPr bwMode="auto">
        <a:xfrm>
          <a:off x="11125200" y="1485900"/>
          <a:ext cx="9810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190500</xdr:colOff>
      <xdr:row>21</xdr:row>
      <xdr:rowOff>85725</xdr:rowOff>
    </xdr:from>
    <xdr:to>
      <xdr:col>21</xdr:col>
      <xdr:colOff>495300</xdr:colOff>
      <xdr:row>31</xdr:row>
      <xdr:rowOff>0</xdr:rowOff>
    </xdr:to>
    <xdr:pic>
      <xdr:nvPicPr>
        <xdr:cNvPr id="7" name="Picture 9" descr="VSM-Icons_Truck-Shipment"/>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7080" t="13792" r="4425" b="12643"/>
        <a:stretch>
          <a:fillRect/>
        </a:stretch>
      </xdr:blipFill>
      <xdr:spPr bwMode="auto">
        <a:xfrm>
          <a:off x="13106400" y="2486025"/>
          <a:ext cx="9525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123825</xdr:colOff>
      <xdr:row>31</xdr:row>
      <xdr:rowOff>9525</xdr:rowOff>
    </xdr:from>
    <xdr:to>
      <xdr:col>21</xdr:col>
      <xdr:colOff>552450</xdr:colOff>
      <xdr:row>39</xdr:row>
      <xdr:rowOff>0</xdr:rowOff>
    </xdr:to>
    <xdr:pic>
      <xdr:nvPicPr>
        <xdr:cNvPr id="8" name="Picture 10" descr="VSM-Icons_Train-Shipment"/>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t="11494" b="19540"/>
        <a:stretch>
          <a:fillRect/>
        </a:stretch>
      </xdr:blipFill>
      <xdr:spPr bwMode="auto">
        <a:xfrm>
          <a:off x="13039725" y="3552825"/>
          <a:ext cx="10763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85725</xdr:colOff>
      <xdr:row>13</xdr:row>
      <xdr:rowOff>9525</xdr:rowOff>
    </xdr:from>
    <xdr:to>
      <xdr:col>21</xdr:col>
      <xdr:colOff>514350</xdr:colOff>
      <xdr:row>19</xdr:row>
      <xdr:rowOff>85725</xdr:rowOff>
    </xdr:to>
    <xdr:pic>
      <xdr:nvPicPr>
        <xdr:cNvPr id="9" name="Picture 11" descr="VSM-Icons_Air-Shipment"/>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t="22989" b="21838"/>
        <a:stretch>
          <a:fillRect/>
        </a:stretch>
      </xdr:blipFill>
      <xdr:spPr bwMode="auto">
        <a:xfrm>
          <a:off x="13001625" y="1495425"/>
          <a:ext cx="10763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123825</xdr:colOff>
      <xdr:row>39</xdr:row>
      <xdr:rowOff>95250</xdr:rowOff>
    </xdr:from>
    <xdr:to>
      <xdr:col>21</xdr:col>
      <xdr:colOff>552450</xdr:colOff>
      <xdr:row>49</xdr:row>
      <xdr:rowOff>0</xdr:rowOff>
    </xdr:to>
    <xdr:pic>
      <xdr:nvPicPr>
        <xdr:cNvPr id="10" name="Picture 12" descr="VSM-Icons_MotorBike-Shipment"/>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t="12643" b="12643"/>
        <a:stretch>
          <a:fillRect/>
        </a:stretch>
      </xdr:blipFill>
      <xdr:spPr bwMode="auto">
        <a:xfrm>
          <a:off x="13039725" y="4552950"/>
          <a:ext cx="10763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95250</xdr:colOff>
      <xdr:row>1</xdr:row>
      <xdr:rowOff>104775</xdr:rowOff>
    </xdr:from>
    <xdr:to>
      <xdr:col>21</xdr:col>
      <xdr:colOff>523875</xdr:colOff>
      <xdr:row>12</xdr:row>
      <xdr:rowOff>9525</xdr:rowOff>
    </xdr:to>
    <xdr:pic>
      <xdr:nvPicPr>
        <xdr:cNvPr id="11" name="Picture 13" descr="VSM-Icons_Sea-Shipment"/>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t="3448" b="11494"/>
        <a:stretch>
          <a:fillRect/>
        </a:stretch>
      </xdr:blipFill>
      <xdr:spPr bwMode="auto">
        <a:xfrm>
          <a:off x="13011150" y="219075"/>
          <a:ext cx="10763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59</xdr:row>
      <xdr:rowOff>28575</xdr:rowOff>
    </xdr:from>
    <xdr:to>
      <xdr:col>1</xdr:col>
      <xdr:colOff>533400</xdr:colOff>
      <xdr:row>71</xdr:row>
      <xdr:rowOff>19050</xdr:rowOff>
    </xdr:to>
    <xdr:pic>
      <xdr:nvPicPr>
        <xdr:cNvPr id="12" name="Picture 26" descr="VSM-Icons_Operato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4775" y="677227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314325</xdr:colOff>
      <xdr:row>13</xdr:row>
      <xdr:rowOff>0</xdr:rowOff>
    </xdr:from>
    <xdr:to>
      <xdr:col>0</xdr:col>
      <xdr:colOff>314325</xdr:colOff>
      <xdr:row>28</xdr:row>
      <xdr:rowOff>95250</xdr:rowOff>
    </xdr:to>
    <xdr:sp macro="" textlink="">
      <xdr:nvSpPr>
        <xdr:cNvPr id="13" name="Line 30"/>
        <xdr:cNvSpPr>
          <a:spLocks noChangeShapeType="1"/>
        </xdr:cNvSpPr>
      </xdr:nvSpPr>
      <xdr:spPr bwMode="auto">
        <a:xfrm>
          <a:off x="314325" y="1485900"/>
          <a:ext cx="0" cy="1809750"/>
        </a:xfrm>
        <a:prstGeom prst="line">
          <a:avLst/>
        </a:prstGeom>
        <a:noFill/>
        <a:ln w="38100">
          <a:solidFill>
            <a:srgbClr xmlns:mc="http://schemas.openxmlformats.org/markup-compatibility/2006" xmlns:a14="http://schemas.microsoft.com/office/drawing/2010/main" val="008000" mc:Ignorable="a14" a14:legacySpreadsheetColorIndex="17"/>
          </a:solidFill>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1</xdr:col>
      <xdr:colOff>228600</xdr:colOff>
      <xdr:row>13</xdr:row>
      <xdr:rowOff>0</xdr:rowOff>
    </xdr:from>
    <xdr:to>
      <xdr:col>1</xdr:col>
      <xdr:colOff>428625</xdr:colOff>
      <xdr:row>29</xdr:row>
      <xdr:rowOff>0</xdr:rowOff>
    </xdr:to>
    <xdr:sp macro="" textlink="">
      <xdr:nvSpPr>
        <xdr:cNvPr id="14" name="Freeform 31"/>
        <xdr:cNvSpPr>
          <a:spLocks/>
        </xdr:cNvSpPr>
      </xdr:nvSpPr>
      <xdr:spPr bwMode="auto">
        <a:xfrm>
          <a:off x="876300" y="1485900"/>
          <a:ext cx="200025" cy="1828800"/>
        </a:xfrm>
        <a:custGeom>
          <a:avLst/>
          <a:gdLst>
            <a:gd name="T0" fmla="*/ 171450 w 21"/>
            <a:gd name="T1" fmla="*/ 0 h 347"/>
            <a:gd name="T2" fmla="*/ 0 w 21"/>
            <a:gd name="T3" fmla="*/ 853791 h 347"/>
            <a:gd name="T4" fmla="*/ 171450 w 21"/>
            <a:gd name="T5" fmla="*/ 943387 h 347"/>
            <a:gd name="T6" fmla="*/ 161925 w 21"/>
            <a:gd name="T7" fmla="*/ 1828800 h 3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1" h="347">
              <a:moveTo>
                <a:pt x="18" y="0"/>
              </a:moveTo>
              <a:cubicBezTo>
                <a:pt x="9" y="66"/>
                <a:pt x="0" y="132"/>
                <a:pt x="0" y="162"/>
              </a:cubicBezTo>
              <a:cubicBezTo>
                <a:pt x="0" y="192"/>
                <a:pt x="15" y="148"/>
                <a:pt x="18" y="179"/>
              </a:cubicBezTo>
              <a:cubicBezTo>
                <a:pt x="21" y="210"/>
                <a:pt x="19" y="278"/>
                <a:pt x="17" y="347"/>
              </a:cubicBezTo>
            </a:path>
          </a:pathLst>
        </a:custGeom>
        <a:noFill/>
        <a:ln w="38100" cap="flat" cmpd="sng">
          <a:solidFill>
            <a:srgbClr xmlns:mc="http://schemas.openxmlformats.org/markup-compatibility/2006" xmlns:a14="http://schemas.microsoft.com/office/drawing/2010/main" val="008000" mc:Ignorable="a14" a14:legacySpreadsheetColorIndex="17"/>
          </a:solidFill>
          <a:prstDash val="solid"/>
          <a:round/>
          <a:headEnd type="none" w="med" len="med"/>
          <a:tailEnd type="triangle" w="lg"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oneCell">
    <xdr:from>
      <xdr:col>0</xdr:col>
      <xdr:colOff>161925</xdr:colOff>
      <xdr:row>50</xdr:row>
      <xdr:rowOff>85725</xdr:rowOff>
    </xdr:from>
    <xdr:to>
      <xdr:col>1</xdr:col>
      <xdr:colOff>333375</xdr:colOff>
      <xdr:row>63</xdr:row>
      <xdr:rowOff>38100</xdr:rowOff>
    </xdr:to>
    <xdr:pic>
      <xdr:nvPicPr>
        <xdr:cNvPr id="15" name="Picture 34" descr="VSM-Icons_Withdrawal"/>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l="11504" r="12390"/>
        <a:stretch>
          <a:fillRect/>
        </a:stretch>
      </xdr:blipFill>
      <xdr:spPr bwMode="auto">
        <a:xfrm>
          <a:off x="161925" y="5800725"/>
          <a:ext cx="8191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504825</xdr:colOff>
      <xdr:row>39</xdr:row>
      <xdr:rowOff>0</xdr:rowOff>
    </xdr:from>
    <xdr:to>
      <xdr:col>1</xdr:col>
      <xdr:colOff>161925</xdr:colOff>
      <xdr:row>50</xdr:row>
      <xdr:rowOff>76200</xdr:rowOff>
    </xdr:to>
    <xdr:pic>
      <xdr:nvPicPr>
        <xdr:cNvPr id="16" name="Picture 35" descr="VSM-Icons_BufferSafetyStock"/>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l="34512" r="37169"/>
        <a:stretch>
          <a:fillRect/>
        </a:stretch>
      </xdr:blipFill>
      <xdr:spPr bwMode="auto">
        <a:xfrm>
          <a:off x="504825" y="4457700"/>
          <a:ext cx="30480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133350</xdr:colOff>
      <xdr:row>51</xdr:row>
      <xdr:rowOff>0</xdr:rowOff>
    </xdr:from>
    <xdr:to>
      <xdr:col>3</xdr:col>
      <xdr:colOff>561975</xdr:colOff>
      <xdr:row>56</xdr:row>
      <xdr:rowOff>9525</xdr:rowOff>
    </xdr:to>
    <xdr:pic>
      <xdr:nvPicPr>
        <xdr:cNvPr id="17" name="Picture 36" descr="VSM-Icons_FIFOSequenceFlow"/>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t="26437" b="31035"/>
        <a:stretch>
          <a:fillRect/>
        </a:stretch>
      </xdr:blipFill>
      <xdr:spPr bwMode="auto">
        <a:xfrm>
          <a:off x="1428750" y="5829300"/>
          <a:ext cx="10763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31</xdr:row>
      <xdr:rowOff>85725</xdr:rowOff>
    </xdr:from>
    <xdr:to>
      <xdr:col>1</xdr:col>
      <xdr:colOff>514350</xdr:colOff>
      <xdr:row>39</xdr:row>
      <xdr:rowOff>95250</xdr:rowOff>
    </xdr:to>
    <xdr:pic>
      <xdr:nvPicPr>
        <xdr:cNvPr id="18" name="Picture 37" descr="VSM-Icons_GoSeeScheduli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l="4425" t="16092" b="18391"/>
        <a:stretch>
          <a:fillRect/>
        </a:stretch>
      </xdr:blipFill>
      <xdr:spPr bwMode="auto">
        <a:xfrm>
          <a:off x="133350" y="3629025"/>
          <a:ext cx="1028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9</xdr:row>
      <xdr:rowOff>95250</xdr:rowOff>
    </xdr:from>
    <xdr:to>
      <xdr:col>3</xdr:col>
      <xdr:colOff>342900</xdr:colOff>
      <xdr:row>24</xdr:row>
      <xdr:rowOff>0</xdr:rowOff>
    </xdr:to>
    <xdr:pic>
      <xdr:nvPicPr>
        <xdr:cNvPr id="19" name="Picture 38" descr="VSM-Icons_KanbanPost"/>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l="23894" r="23009"/>
        <a:stretch>
          <a:fillRect/>
        </a:stretch>
      </xdr:blipFill>
      <xdr:spPr bwMode="auto">
        <a:xfrm>
          <a:off x="1628775" y="1123950"/>
          <a:ext cx="6572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xdr:colOff>
      <xdr:row>21</xdr:row>
      <xdr:rowOff>104775</xdr:rowOff>
    </xdr:from>
    <xdr:to>
      <xdr:col>2</xdr:col>
      <xdr:colOff>600075</xdr:colOff>
      <xdr:row>28</xdr:row>
      <xdr:rowOff>0</xdr:rowOff>
    </xdr:to>
    <xdr:pic>
      <xdr:nvPicPr>
        <xdr:cNvPr id="20" name="Picture 39" descr="VSM-Icons_KanbanProduction"/>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l="6195" t="5746" b="8046"/>
        <a:stretch>
          <a:fillRect/>
        </a:stretch>
      </xdr:blipFill>
      <xdr:spPr bwMode="auto">
        <a:xfrm>
          <a:off x="1352550" y="2505075"/>
          <a:ext cx="5429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66675</xdr:colOff>
      <xdr:row>21</xdr:row>
      <xdr:rowOff>104775</xdr:rowOff>
    </xdr:from>
    <xdr:to>
      <xdr:col>4</xdr:col>
      <xdr:colOff>0</xdr:colOff>
      <xdr:row>27</xdr:row>
      <xdr:rowOff>104775</xdr:rowOff>
    </xdr:to>
    <xdr:pic>
      <xdr:nvPicPr>
        <xdr:cNvPr id="21" name="Picture 40" descr="VSM-Icons_KanbanWithdrawal"/>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l="6195" t="5746" b="8046"/>
        <a:stretch>
          <a:fillRect/>
        </a:stretch>
      </xdr:blipFill>
      <xdr:spPr bwMode="auto">
        <a:xfrm>
          <a:off x="2009775" y="2505075"/>
          <a:ext cx="5429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28</xdr:row>
      <xdr:rowOff>104775</xdr:rowOff>
    </xdr:from>
    <xdr:to>
      <xdr:col>3</xdr:col>
      <xdr:colOff>590550</xdr:colOff>
      <xdr:row>34</xdr:row>
      <xdr:rowOff>104775</xdr:rowOff>
    </xdr:to>
    <xdr:pic>
      <xdr:nvPicPr>
        <xdr:cNvPr id="22" name="Picture 41" descr="VSM-Icons_LoadLeveling"/>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t="27586" b="29884"/>
        <a:stretch>
          <a:fillRect/>
        </a:stretch>
      </xdr:blipFill>
      <xdr:spPr bwMode="auto">
        <a:xfrm>
          <a:off x="1371600" y="3305175"/>
          <a:ext cx="1162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xdr:row>
      <xdr:rowOff>47625</xdr:rowOff>
    </xdr:from>
    <xdr:to>
      <xdr:col>3</xdr:col>
      <xdr:colOff>438150</xdr:colOff>
      <xdr:row>12</xdr:row>
      <xdr:rowOff>38100</xdr:rowOff>
    </xdr:to>
    <xdr:pic>
      <xdr:nvPicPr>
        <xdr:cNvPr id="23" name="Picture 42" descr="VSM-Icons_SequencedPullBall"/>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l="11504" r="12390"/>
        <a:stretch>
          <a:fillRect/>
        </a:stretch>
      </xdr:blipFill>
      <xdr:spPr bwMode="auto">
        <a:xfrm>
          <a:off x="1562100" y="161925"/>
          <a:ext cx="8191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58</xdr:row>
      <xdr:rowOff>57150</xdr:rowOff>
    </xdr:from>
    <xdr:to>
      <xdr:col>3</xdr:col>
      <xdr:colOff>304800</xdr:colOff>
      <xdr:row>66</xdr:row>
      <xdr:rowOff>104775</xdr:rowOff>
    </xdr:to>
    <xdr:pic>
      <xdr:nvPicPr>
        <xdr:cNvPr id="24" name="Picture 43" descr="VSM-Icons_SignalKanban"/>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l="19469" t="18391" r="16814" b="11494"/>
        <a:stretch>
          <a:fillRect/>
        </a:stretch>
      </xdr:blipFill>
      <xdr:spPr bwMode="auto">
        <a:xfrm>
          <a:off x="1562100" y="6686550"/>
          <a:ext cx="6858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504825</xdr:colOff>
      <xdr:row>37</xdr:row>
      <xdr:rowOff>0</xdr:rowOff>
    </xdr:from>
    <xdr:to>
      <xdr:col>3</xdr:col>
      <xdr:colOff>152400</xdr:colOff>
      <xdr:row>48</xdr:row>
      <xdr:rowOff>104775</xdr:rowOff>
    </xdr:to>
    <xdr:pic>
      <xdr:nvPicPr>
        <xdr:cNvPr id="25" name="Picture 44" descr="VSM-Icons_Supermarket"/>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l="36282" r="36284"/>
        <a:stretch>
          <a:fillRect/>
        </a:stretch>
      </xdr:blipFill>
      <xdr:spPr bwMode="auto">
        <a:xfrm>
          <a:off x="1800225" y="4229100"/>
          <a:ext cx="2952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20</xdr:row>
      <xdr:rowOff>9525</xdr:rowOff>
    </xdr:from>
    <xdr:to>
      <xdr:col>4</xdr:col>
      <xdr:colOff>9525</xdr:colOff>
      <xdr:row>20</xdr:row>
      <xdr:rowOff>9525</xdr:rowOff>
    </xdr:to>
    <xdr:sp macro="" textlink="">
      <xdr:nvSpPr>
        <xdr:cNvPr id="26" name="Line 45"/>
        <xdr:cNvSpPr>
          <a:spLocks noChangeShapeType="1"/>
        </xdr:cNvSpPr>
      </xdr:nvSpPr>
      <xdr:spPr bwMode="auto">
        <a:xfrm flipH="1">
          <a:off x="1304925" y="2295525"/>
          <a:ext cx="1295400" cy="0"/>
        </a:xfrm>
        <a:prstGeom prst="line">
          <a:avLst/>
        </a:prstGeom>
        <a:noFill/>
        <a:ln w="38100">
          <a:solidFill>
            <a:srgbClr xmlns:mc="http://schemas.openxmlformats.org/markup-compatibility/2006" xmlns:a14="http://schemas.microsoft.com/office/drawing/2010/main" val="000000" mc:Ignorable="a14" a14:legacySpreadsheetColorIndex="64"/>
          </a:solidFill>
          <a:prstDash val="sysDot"/>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0</xdr:col>
      <xdr:colOff>152400</xdr:colOff>
      <xdr:row>2</xdr:row>
      <xdr:rowOff>104775</xdr:rowOff>
    </xdr:from>
    <xdr:to>
      <xdr:col>2</xdr:col>
      <xdr:colOff>57150</xdr:colOff>
      <xdr:row>2</xdr:row>
      <xdr:rowOff>104775</xdr:rowOff>
    </xdr:to>
    <xdr:sp macro="" textlink="">
      <xdr:nvSpPr>
        <xdr:cNvPr id="27" name="Line 47"/>
        <xdr:cNvSpPr>
          <a:spLocks noChangeShapeType="1"/>
        </xdr:cNvSpPr>
      </xdr:nvSpPr>
      <xdr:spPr bwMode="auto">
        <a:xfrm>
          <a:off x="152400" y="333375"/>
          <a:ext cx="1200150" cy="0"/>
        </a:xfrm>
        <a:prstGeom prst="line">
          <a:avLst/>
        </a:prstGeom>
        <a:noFill/>
        <a:ln w="152400">
          <a:solidFill>
            <a:srgbClr xmlns:mc="http://schemas.openxmlformats.org/markup-compatibility/2006" xmlns:a14="http://schemas.microsoft.com/office/drawing/2010/main" val="3366FF" mc:Ignorable="a14" a14:legacySpreadsheetColorIndex="48"/>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0</xdr:col>
      <xdr:colOff>123825</xdr:colOff>
      <xdr:row>8</xdr:row>
      <xdr:rowOff>57150</xdr:rowOff>
    </xdr:from>
    <xdr:to>
      <xdr:col>2</xdr:col>
      <xdr:colOff>28575</xdr:colOff>
      <xdr:row>8</xdr:row>
      <xdr:rowOff>57150</xdr:rowOff>
    </xdr:to>
    <xdr:sp macro="" textlink="">
      <xdr:nvSpPr>
        <xdr:cNvPr id="28" name="Line 48"/>
        <xdr:cNvSpPr>
          <a:spLocks noChangeShapeType="1"/>
        </xdr:cNvSpPr>
      </xdr:nvSpPr>
      <xdr:spPr bwMode="auto">
        <a:xfrm>
          <a:off x="123825" y="971550"/>
          <a:ext cx="1200150" cy="0"/>
        </a:xfrm>
        <a:prstGeom prst="line">
          <a:avLst/>
        </a:prstGeom>
        <a:noFill/>
        <a:ln w="152400">
          <a:solidFill>
            <a:srgbClr xmlns:mc="http://schemas.openxmlformats.org/markup-compatibility/2006" xmlns:a14="http://schemas.microsoft.com/office/drawing/2010/main" val="3366FF" mc:Ignorable="a14" a14:legacySpreadsheetColorIndex="48"/>
          </a:solidFill>
          <a:prstDash val="sysDot"/>
          <a:round/>
          <a:headEnd/>
          <a:tailEnd type="triangle" w="sm" len="sm"/>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28575</xdr:rowOff>
    </xdr:from>
    <xdr:to>
      <xdr:col>27</xdr:col>
      <xdr:colOff>9525</xdr:colOff>
      <xdr:row>48</xdr:row>
      <xdr:rowOff>66675</xdr:rowOff>
    </xdr:to>
    <xdr:sp macro="" textlink="">
      <xdr:nvSpPr>
        <xdr:cNvPr id="2" name="Rectangle 46"/>
        <xdr:cNvSpPr>
          <a:spLocks noChangeArrowheads="1"/>
        </xdr:cNvSpPr>
      </xdr:nvSpPr>
      <xdr:spPr bwMode="auto">
        <a:xfrm>
          <a:off x="1905000" y="828675"/>
          <a:ext cx="15554325" cy="4724400"/>
        </a:xfrm>
        <a:prstGeom prst="rect">
          <a:avLst/>
        </a:prstGeom>
        <a:noFill/>
        <a:ln w="25400">
          <a:solidFill>
            <a:srgbClr xmlns:mc="http://schemas.openxmlformats.org/markup-compatibility/2006" xmlns:a14="http://schemas.microsoft.com/office/drawing/2010/main" val="00CCFF" mc:Ignorable="a14" a14:legacySpreadsheetColorIndex="40"/>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oneCell">
    <xdr:from>
      <xdr:col>1</xdr:col>
      <xdr:colOff>152400</xdr:colOff>
      <xdr:row>9</xdr:row>
      <xdr:rowOff>0</xdr:rowOff>
    </xdr:from>
    <xdr:to>
      <xdr:col>2</xdr:col>
      <xdr:colOff>447675</xdr:colOff>
      <xdr:row>16</xdr:row>
      <xdr:rowOff>76200</xdr:rowOff>
    </xdr:to>
    <xdr:pic>
      <xdr:nvPicPr>
        <xdr:cNvPr id="3" name="Picture 2" descr="VSM-Icons_Outside-SourcesTr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425" t="4347" r="4425" b="4347"/>
        <a:stretch>
          <a:fillRect/>
        </a:stretch>
      </xdr:blipFill>
      <xdr:spPr bwMode="auto">
        <a:xfrm>
          <a:off x="762000" y="1028700"/>
          <a:ext cx="9429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400050</xdr:colOff>
      <xdr:row>31</xdr:row>
      <xdr:rowOff>28575</xdr:rowOff>
    </xdr:from>
    <xdr:to>
      <xdr:col>4</xdr:col>
      <xdr:colOff>209551</xdr:colOff>
      <xdr:row>37</xdr:row>
      <xdr:rowOff>76200</xdr:rowOff>
    </xdr:to>
    <xdr:pic>
      <xdr:nvPicPr>
        <xdr:cNvPr id="4" name="Picture 3" descr="VSM-Icons_Inventor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9735" t="5746" r="9735" b="3448"/>
        <a:stretch>
          <a:fillRect/>
        </a:stretch>
      </xdr:blipFill>
      <xdr:spPr bwMode="auto">
        <a:xfrm>
          <a:off x="2305050" y="3571875"/>
          <a:ext cx="495301"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152400</xdr:colOff>
      <xdr:row>30</xdr:row>
      <xdr:rowOff>104775</xdr:rowOff>
    </xdr:from>
    <xdr:to>
      <xdr:col>6</xdr:col>
      <xdr:colOff>447676</xdr:colOff>
      <xdr:row>43</xdr:row>
      <xdr:rowOff>0</xdr:rowOff>
    </xdr:to>
    <xdr:pic>
      <xdr:nvPicPr>
        <xdr:cNvPr id="5" name="Picture 4"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3352800" y="3533775"/>
          <a:ext cx="981076"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400050</xdr:colOff>
      <xdr:row>25</xdr:row>
      <xdr:rowOff>28575</xdr:rowOff>
    </xdr:from>
    <xdr:to>
      <xdr:col>8</xdr:col>
      <xdr:colOff>209551</xdr:colOff>
      <xdr:row>31</xdr:row>
      <xdr:rowOff>76200</xdr:rowOff>
    </xdr:to>
    <xdr:pic>
      <xdr:nvPicPr>
        <xdr:cNvPr id="6" name="Picture 5" descr="VSM-Icons_Inventor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9735" t="5746" r="9735" b="3448"/>
        <a:stretch>
          <a:fillRect/>
        </a:stretch>
      </xdr:blipFill>
      <xdr:spPr bwMode="auto">
        <a:xfrm>
          <a:off x="4895850" y="2886075"/>
          <a:ext cx="495301"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152400</xdr:colOff>
      <xdr:row>30</xdr:row>
      <xdr:rowOff>104775</xdr:rowOff>
    </xdr:from>
    <xdr:to>
      <xdr:col>10</xdr:col>
      <xdr:colOff>447676</xdr:colOff>
      <xdr:row>43</xdr:row>
      <xdr:rowOff>0</xdr:rowOff>
    </xdr:to>
    <xdr:pic>
      <xdr:nvPicPr>
        <xdr:cNvPr id="7" name="Picture 6"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5943600" y="3533775"/>
          <a:ext cx="981076"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400050</xdr:colOff>
      <xdr:row>25</xdr:row>
      <xdr:rowOff>28575</xdr:rowOff>
    </xdr:from>
    <xdr:to>
      <xdr:col>12</xdr:col>
      <xdr:colOff>209551</xdr:colOff>
      <xdr:row>31</xdr:row>
      <xdr:rowOff>76200</xdr:rowOff>
    </xdr:to>
    <xdr:pic>
      <xdr:nvPicPr>
        <xdr:cNvPr id="8" name="Picture 7" descr="VSM-Icons_Inventor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9735" t="5746" r="9735" b="3448"/>
        <a:stretch>
          <a:fillRect/>
        </a:stretch>
      </xdr:blipFill>
      <xdr:spPr bwMode="auto">
        <a:xfrm>
          <a:off x="7486650" y="2886075"/>
          <a:ext cx="495301"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30</xdr:row>
      <xdr:rowOff>104775</xdr:rowOff>
    </xdr:from>
    <xdr:to>
      <xdr:col>14</xdr:col>
      <xdr:colOff>447676</xdr:colOff>
      <xdr:row>43</xdr:row>
      <xdr:rowOff>0</xdr:rowOff>
    </xdr:to>
    <xdr:pic>
      <xdr:nvPicPr>
        <xdr:cNvPr id="9" name="Picture 8"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8534400" y="3533775"/>
          <a:ext cx="981076"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400050</xdr:colOff>
      <xdr:row>25</xdr:row>
      <xdr:rowOff>28575</xdr:rowOff>
    </xdr:from>
    <xdr:to>
      <xdr:col>16</xdr:col>
      <xdr:colOff>209551</xdr:colOff>
      <xdr:row>31</xdr:row>
      <xdr:rowOff>76200</xdr:rowOff>
    </xdr:to>
    <xdr:pic>
      <xdr:nvPicPr>
        <xdr:cNvPr id="10" name="Picture 9" descr="VSM-Icons_Inventor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9735" t="5746" r="9735" b="3448"/>
        <a:stretch>
          <a:fillRect/>
        </a:stretch>
      </xdr:blipFill>
      <xdr:spPr bwMode="auto">
        <a:xfrm>
          <a:off x="10077450" y="2886075"/>
          <a:ext cx="495301"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152400</xdr:colOff>
      <xdr:row>30</xdr:row>
      <xdr:rowOff>104775</xdr:rowOff>
    </xdr:from>
    <xdr:to>
      <xdr:col>18</xdr:col>
      <xdr:colOff>447676</xdr:colOff>
      <xdr:row>43</xdr:row>
      <xdr:rowOff>0</xdr:rowOff>
    </xdr:to>
    <xdr:pic>
      <xdr:nvPicPr>
        <xdr:cNvPr id="11" name="Picture 10"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11125200" y="3533775"/>
          <a:ext cx="981076"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400050</xdr:colOff>
      <xdr:row>25</xdr:row>
      <xdr:rowOff>28575</xdr:rowOff>
    </xdr:from>
    <xdr:to>
      <xdr:col>20</xdr:col>
      <xdr:colOff>209551</xdr:colOff>
      <xdr:row>31</xdr:row>
      <xdr:rowOff>76200</xdr:rowOff>
    </xdr:to>
    <xdr:pic>
      <xdr:nvPicPr>
        <xdr:cNvPr id="12" name="Picture 11" descr="VSM-Icons_Inventor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9735" t="5746" r="9735" b="3448"/>
        <a:stretch>
          <a:fillRect/>
        </a:stretch>
      </xdr:blipFill>
      <xdr:spPr bwMode="auto">
        <a:xfrm>
          <a:off x="12668250" y="2886075"/>
          <a:ext cx="495301"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152400</xdr:colOff>
      <xdr:row>30</xdr:row>
      <xdr:rowOff>104775</xdr:rowOff>
    </xdr:from>
    <xdr:to>
      <xdr:col>22</xdr:col>
      <xdr:colOff>447676</xdr:colOff>
      <xdr:row>43</xdr:row>
      <xdr:rowOff>0</xdr:rowOff>
    </xdr:to>
    <xdr:pic>
      <xdr:nvPicPr>
        <xdr:cNvPr id="13" name="Picture 12"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13716000" y="3533775"/>
          <a:ext cx="981076"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400050</xdr:colOff>
      <xdr:row>25</xdr:row>
      <xdr:rowOff>28575</xdr:rowOff>
    </xdr:from>
    <xdr:to>
      <xdr:col>24</xdr:col>
      <xdr:colOff>209550</xdr:colOff>
      <xdr:row>31</xdr:row>
      <xdr:rowOff>76200</xdr:rowOff>
    </xdr:to>
    <xdr:pic>
      <xdr:nvPicPr>
        <xdr:cNvPr id="14" name="Picture 13" descr="VSM-Icons_Inventor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9735" t="5746" r="9735" b="3448"/>
        <a:stretch>
          <a:fillRect/>
        </a:stretch>
      </xdr:blipFill>
      <xdr:spPr bwMode="auto">
        <a:xfrm>
          <a:off x="15259050" y="2886075"/>
          <a:ext cx="4953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152400</xdr:colOff>
      <xdr:row>30</xdr:row>
      <xdr:rowOff>104775</xdr:rowOff>
    </xdr:from>
    <xdr:to>
      <xdr:col>26</xdr:col>
      <xdr:colOff>447675</xdr:colOff>
      <xdr:row>43</xdr:row>
      <xdr:rowOff>0</xdr:rowOff>
    </xdr:to>
    <xdr:pic>
      <xdr:nvPicPr>
        <xdr:cNvPr id="15" name="Picture 14"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16306800" y="3533775"/>
          <a:ext cx="9810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104775</xdr:colOff>
      <xdr:row>4</xdr:row>
      <xdr:rowOff>104775</xdr:rowOff>
    </xdr:from>
    <xdr:to>
      <xdr:col>30</xdr:col>
      <xdr:colOff>504825</xdr:colOff>
      <xdr:row>17</xdr:row>
      <xdr:rowOff>0</xdr:rowOff>
    </xdr:to>
    <xdr:pic>
      <xdr:nvPicPr>
        <xdr:cNvPr id="16" name="Picture 15" descr="VSM-Icons_Outside-SourcesTr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425" t="4494" r="3540" b="4494"/>
        <a:stretch>
          <a:fillRect/>
        </a:stretch>
      </xdr:blipFill>
      <xdr:spPr bwMode="auto">
        <a:xfrm>
          <a:off x="18773775" y="561975"/>
          <a:ext cx="10858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8</xdr:row>
      <xdr:rowOff>104775</xdr:rowOff>
    </xdr:from>
    <xdr:to>
      <xdr:col>14</xdr:col>
      <xdr:colOff>447676</xdr:colOff>
      <xdr:row>21</xdr:row>
      <xdr:rowOff>0</xdr:rowOff>
    </xdr:to>
    <xdr:pic>
      <xdr:nvPicPr>
        <xdr:cNvPr id="17" name="Picture 16"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8534400" y="1019175"/>
          <a:ext cx="981076"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152400</xdr:colOff>
      <xdr:row>13</xdr:row>
      <xdr:rowOff>104775</xdr:rowOff>
    </xdr:from>
    <xdr:to>
      <xdr:col>10</xdr:col>
      <xdr:colOff>447676</xdr:colOff>
      <xdr:row>26</xdr:row>
      <xdr:rowOff>0</xdr:rowOff>
    </xdr:to>
    <xdr:pic>
      <xdr:nvPicPr>
        <xdr:cNvPr id="18" name="Picture 17" descr="VSM-Icons_Manufacturing-ProcessTr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425" t="3297" r="4425" b="3297"/>
        <a:stretch>
          <a:fillRect/>
        </a:stretch>
      </xdr:blipFill>
      <xdr:spPr bwMode="auto">
        <a:xfrm>
          <a:off x="5943600" y="1590675"/>
          <a:ext cx="981076"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419100</xdr:colOff>
      <xdr:row>11</xdr:row>
      <xdr:rowOff>19050</xdr:rowOff>
    </xdr:from>
    <xdr:to>
      <xdr:col>13</xdr:col>
      <xdr:colOff>142875</xdr:colOff>
      <xdr:row>13</xdr:row>
      <xdr:rowOff>95250</xdr:rowOff>
    </xdr:to>
    <xdr:sp macro="" textlink="">
      <xdr:nvSpPr>
        <xdr:cNvPr id="19" name="Freeform 19"/>
        <xdr:cNvSpPr>
          <a:spLocks/>
        </xdr:cNvSpPr>
      </xdr:nvSpPr>
      <xdr:spPr bwMode="auto">
        <a:xfrm rot="4194286">
          <a:off x="7539038" y="595312"/>
          <a:ext cx="304800" cy="1666875"/>
        </a:xfrm>
        <a:custGeom>
          <a:avLst/>
          <a:gdLst>
            <a:gd name="T0" fmla="*/ 261257 w 21"/>
            <a:gd name="T1" fmla="*/ 0 h 347"/>
            <a:gd name="T2" fmla="*/ 0 w 21"/>
            <a:gd name="T3" fmla="*/ 778195 h 347"/>
            <a:gd name="T4" fmla="*/ 261257 w 21"/>
            <a:gd name="T5" fmla="*/ 859858 h 347"/>
            <a:gd name="T6" fmla="*/ 246743 w 21"/>
            <a:gd name="T7" fmla="*/ 1666875 h 3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1" h="347">
              <a:moveTo>
                <a:pt x="18" y="0"/>
              </a:moveTo>
              <a:cubicBezTo>
                <a:pt x="9" y="66"/>
                <a:pt x="0" y="132"/>
                <a:pt x="0" y="162"/>
              </a:cubicBezTo>
              <a:cubicBezTo>
                <a:pt x="0" y="192"/>
                <a:pt x="15" y="148"/>
                <a:pt x="18" y="179"/>
              </a:cubicBezTo>
              <a:cubicBezTo>
                <a:pt x="21" y="210"/>
                <a:pt x="19" y="278"/>
                <a:pt x="17" y="347"/>
              </a:cubicBezTo>
            </a:path>
          </a:pathLst>
        </a:custGeom>
        <a:noFill/>
        <a:ln w="38100" cap="flat" cmpd="sng">
          <a:solidFill>
            <a:srgbClr xmlns:mc="http://schemas.openxmlformats.org/markup-compatibility/2006" xmlns:a14="http://schemas.microsoft.com/office/drawing/2010/main" val="008000" mc:Ignorable="a14" a14:legacySpreadsheetColorIndex="17"/>
          </a:solidFill>
          <a:prstDash val="solid"/>
          <a:round/>
          <a:headEnd type="none" w="med" len="med"/>
          <a:tailEnd type="triangle" w="lg"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9</xdr:col>
      <xdr:colOff>247650</xdr:colOff>
      <xdr:row>21</xdr:row>
      <xdr:rowOff>57150</xdr:rowOff>
    </xdr:from>
    <xdr:to>
      <xdr:col>13</xdr:col>
      <xdr:colOff>552450</xdr:colOff>
      <xdr:row>23</xdr:row>
      <xdr:rowOff>47625</xdr:rowOff>
    </xdr:to>
    <xdr:sp macro="" textlink="">
      <xdr:nvSpPr>
        <xdr:cNvPr id="20" name="Freeform 20"/>
        <xdr:cNvSpPr>
          <a:spLocks/>
        </xdr:cNvSpPr>
      </xdr:nvSpPr>
      <xdr:spPr bwMode="auto">
        <a:xfrm rot="2904758" flipH="1">
          <a:off x="7377112" y="1119188"/>
          <a:ext cx="219075" cy="2895600"/>
        </a:xfrm>
        <a:custGeom>
          <a:avLst/>
          <a:gdLst>
            <a:gd name="T0" fmla="*/ 187779 w 21"/>
            <a:gd name="T1" fmla="*/ 0 h 347"/>
            <a:gd name="T2" fmla="*/ 0 w 21"/>
            <a:gd name="T3" fmla="*/ 1351836 h 347"/>
            <a:gd name="T4" fmla="*/ 187779 w 21"/>
            <a:gd name="T5" fmla="*/ 1493696 h 347"/>
            <a:gd name="T6" fmla="*/ 177346 w 21"/>
            <a:gd name="T7" fmla="*/ 2895600 h 3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1" h="347">
              <a:moveTo>
                <a:pt x="18" y="0"/>
              </a:moveTo>
              <a:cubicBezTo>
                <a:pt x="9" y="66"/>
                <a:pt x="0" y="132"/>
                <a:pt x="0" y="162"/>
              </a:cubicBezTo>
              <a:cubicBezTo>
                <a:pt x="0" y="192"/>
                <a:pt x="15" y="148"/>
                <a:pt x="18" y="179"/>
              </a:cubicBezTo>
              <a:cubicBezTo>
                <a:pt x="21" y="210"/>
                <a:pt x="19" y="278"/>
                <a:pt x="17" y="347"/>
              </a:cubicBezTo>
            </a:path>
          </a:pathLst>
        </a:custGeom>
        <a:noFill/>
        <a:ln w="38100" cap="flat" cmpd="sng">
          <a:solidFill>
            <a:srgbClr xmlns:mc="http://schemas.openxmlformats.org/markup-compatibility/2006" xmlns:a14="http://schemas.microsoft.com/office/drawing/2010/main" val="008000" mc:Ignorable="a14" a14:legacySpreadsheetColorIndex="17"/>
          </a:solidFill>
          <a:prstDash val="solid"/>
          <a:round/>
          <a:headEnd type="none" w="med" len="med"/>
          <a:tailEnd type="triangle" w="lg"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466725</xdr:colOff>
      <xdr:row>16</xdr:row>
      <xdr:rowOff>9525</xdr:rowOff>
    </xdr:from>
    <xdr:to>
      <xdr:col>15</xdr:col>
      <xdr:colOff>247650</xdr:colOff>
      <xdr:row>20</xdr:row>
      <xdr:rowOff>85725</xdr:rowOff>
    </xdr:to>
    <xdr:sp macro="" textlink="">
      <xdr:nvSpPr>
        <xdr:cNvPr id="21" name="Line 21"/>
        <xdr:cNvSpPr>
          <a:spLocks noChangeShapeType="1"/>
        </xdr:cNvSpPr>
      </xdr:nvSpPr>
      <xdr:spPr bwMode="auto">
        <a:xfrm>
          <a:off x="9496425" y="1838325"/>
          <a:ext cx="428625" cy="533400"/>
        </a:xfrm>
        <a:prstGeom prst="line">
          <a:avLst/>
        </a:prstGeom>
        <a:noFill/>
        <a:ln w="38100">
          <a:solidFill>
            <a:srgbClr xmlns:mc="http://schemas.openxmlformats.org/markup-compatibility/2006" xmlns:a14="http://schemas.microsoft.com/office/drawing/2010/main" val="008000" mc:Ignorable="a14" a14:legacySpreadsheetColorIndex="17"/>
          </a:solidFill>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14</xdr:col>
      <xdr:colOff>66675</xdr:colOff>
      <xdr:row>23</xdr:row>
      <xdr:rowOff>9525</xdr:rowOff>
    </xdr:from>
    <xdr:to>
      <xdr:col>15</xdr:col>
      <xdr:colOff>76200</xdr:colOff>
      <xdr:row>30</xdr:row>
      <xdr:rowOff>104775</xdr:rowOff>
    </xdr:to>
    <xdr:sp macro="" textlink="">
      <xdr:nvSpPr>
        <xdr:cNvPr id="22" name="Line 22"/>
        <xdr:cNvSpPr>
          <a:spLocks noChangeShapeType="1"/>
        </xdr:cNvSpPr>
      </xdr:nvSpPr>
      <xdr:spPr bwMode="auto">
        <a:xfrm flipH="1">
          <a:off x="9096375" y="2638425"/>
          <a:ext cx="657225" cy="895350"/>
        </a:xfrm>
        <a:prstGeom prst="line">
          <a:avLst/>
        </a:prstGeom>
        <a:noFill/>
        <a:ln w="38100">
          <a:solidFill>
            <a:srgbClr xmlns:mc="http://schemas.openxmlformats.org/markup-compatibility/2006" xmlns:a14="http://schemas.microsoft.com/office/drawing/2010/main" val="008000" mc:Ignorable="a14" a14:legacySpreadsheetColorIndex="17"/>
          </a:solidFill>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16</xdr:col>
      <xdr:colOff>504825</xdr:colOff>
      <xdr:row>23</xdr:row>
      <xdr:rowOff>28575</xdr:rowOff>
    </xdr:from>
    <xdr:to>
      <xdr:col>17</xdr:col>
      <xdr:colOff>333375</xdr:colOff>
      <xdr:row>30</xdr:row>
      <xdr:rowOff>104775</xdr:rowOff>
    </xdr:to>
    <xdr:sp macro="" textlink="">
      <xdr:nvSpPr>
        <xdr:cNvPr id="23" name="Line 23"/>
        <xdr:cNvSpPr>
          <a:spLocks noChangeShapeType="1"/>
        </xdr:cNvSpPr>
      </xdr:nvSpPr>
      <xdr:spPr bwMode="auto">
        <a:xfrm>
          <a:off x="10829925" y="2657475"/>
          <a:ext cx="476250" cy="876300"/>
        </a:xfrm>
        <a:prstGeom prst="line">
          <a:avLst/>
        </a:prstGeom>
        <a:noFill/>
        <a:ln w="38100">
          <a:solidFill>
            <a:srgbClr xmlns:mc="http://schemas.openxmlformats.org/markup-compatibility/2006" xmlns:a14="http://schemas.microsoft.com/office/drawing/2010/main" val="008000" mc:Ignorable="a14" a14:legacySpreadsheetColorIndex="17"/>
          </a:solidFill>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26</xdr:col>
      <xdr:colOff>200025</xdr:colOff>
      <xdr:row>10</xdr:row>
      <xdr:rowOff>38100</xdr:rowOff>
    </xdr:from>
    <xdr:to>
      <xdr:col>29</xdr:col>
      <xdr:colOff>38100</xdr:colOff>
      <xdr:row>30</xdr:row>
      <xdr:rowOff>57150</xdr:rowOff>
    </xdr:to>
    <xdr:sp macro="" textlink="">
      <xdr:nvSpPr>
        <xdr:cNvPr id="24" name="Line 27"/>
        <xdr:cNvSpPr>
          <a:spLocks noChangeShapeType="1"/>
        </xdr:cNvSpPr>
      </xdr:nvSpPr>
      <xdr:spPr bwMode="auto">
        <a:xfrm flipV="1">
          <a:off x="17002125" y="1181100"/>
          <a:ext cx="1704975" cy="2305050"/>
        </a:xfrm>
        <a:prstGeom prst="line">
          <a:avLst/>
        </a:prstGeom>
        <a:noFill/>
        <a:ln w="152400">
          <a:solidFill>
            <a:srgbClr xmlns:mc="http://schemas.openxmlformats.org/markup-compatibility/2006" xmlns:a14="http://schemas.microsoft.com/office/drawing/2010/main" val="3366FF" mc:Ignorable="a14" a14:legacySpreadsheetColorIndex="48"/>
          </a:solidFill>
          <a:round/>
          <a:headEnd/>
          <a:tailEnd type="triangle" w="sm" len="sm"/>
        </a:ln>
        <a:extLst>
          <a:ext uri="{909E8E84-426E-40DD-AFC4-6F175D3DCCD1}">
            <a14:hiddenFill xmlns:a14="http://schemas.microsoft.com/office/drawing/2010/main">
              <a:noFill/>
            </a14:hiddenFill>
          </a:ext>
        </a:extLst>
      </xdr:spPr>
    </xdr:sp>
    <xdr:clientData/>
  </xdr:twoCellAnchor>
  <xdr:twoCellAnchor editAs="oneCell">
    <xdr:from>
      <xdr:col>28</xdr:col>
      <xdr:colOff>190500</xdr:colOff>
      <xdr:row>21</xdr:row>
      <xdr:rowOff>85725</xdr:rowOff>
    </xdr:from>
    <xdr:to>
      <xdr:col>29</xdr:col>
      <xdr:colOff>566531</xdr:colOff>
      <xdr:row>31</xdr:row>
      <xdr:rowOff>0</xdr:rowOff>
    </xdr:to>
    <xdr:pic>
      <xdr:nvPicPr>
        <xdr:cNvPr id="25" name="Picture 30" descr="VSM-Icons_Truck-Shipmen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7080" t="13792" r="4425" b="12643"/>
        <a:stretch>
          <a:fillRect/>
        </a:stretch>
      </xdr:blipFill>
      <xdr:spPr bwMode="auto">
        <a:xfrm>
          <a:off x="18249900" y="2486025"/>
          <a:ext cx="985631"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628650</xdr:colOff>
      <xdr:row>19</xdr:row>
      <xdr:rowOff>66675</xdr:rowOff>
    </xdr:from>
    <xdr:to>
      <xdr:col>21</xdr:col>
      <xdr:colOff>552450</xdr:colOff>
      <xdr:row>30</xdr:row>
      <xdr:rowOff>66675</xdr:rowOff>
    </xdr:to>
    <xdr:sp macro="" textlink="">
      <xdr:nvSpPr>
        <xdr:cNvPr id="26" name="Freeform 32"/>
        <xdr:cNvSpPr>
          <a:spLocks/>
        </xdr:cNvSpPr>
      </xdr:nvSpPr>
      <xdr:spPr bwMode="auto">
        <a:xfrm>
          <a:off x="10953750" y="2238375"/>
          <a:ext cx="3162300" cy="1257300"/>
        </a:xfrm>
        <a:custGeom>
          <a:avLst/>
          <a:gdLst>
            <a:gd name="T0" fmla="*/ 133350 w 332"/>
            <a:gd name="T1" fmla="*/ 266700 h 132"/>
            <a:gd name="T2" fmla="*/ 304800 w 332"/>
            <a:gd name="T3" fmla="*/ 266700 h 132"/>
            <a:gd name="T4" fmla="*/ 1981200 w 332"/>
            <a:gd name="T5" fmla="*/ 161925 h 132"/>
            <a:gd name="T6" fmla="*/ 3162300 w 332"/>
            <a:gd name="T7" fmla="*/ 1257300 h 13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2" h="132">
              <a:moveTo>
                <a:pt x="14" y="28"/>
              </a:moveTo>
              <a:cubicBezTo>
                <a:pt x="7" y="29"/>
                <a:pt x="0" y="30"/>
                <a:pt x="32" y="28"/>
              </a:cubicBezTo>
              <a:cubicBezTo>
                <a:pt x="64" y="26"/>
                <a:pt x="158" y="0"/>
                <a:pt x="208" y="17"/>
              </a:cubicBezTo>
              <a:cubicBezTo>
                <a:pt x="258" y="34"/>
                <a:pt x="295" y="83"/>
                <a:pt x="332" y="132"/>
              </a:cubicBezTo>
            </a:path>
          </a:pathLst>
        </a:custGeom>
        <a:noFill/>
        <a:ln w="38100" cap="flat" cmpd="sng">
          <a:solidFill>
            <a:srgbClr xmlns:mc="http://schemas.openxmlformats.org/markup-compatibility/2006" xmlns:a14="http://schemas.microsoft.com/office/drawing/2010/main" val="008000" mc:Ignorable="a14" a14:legacySpreadsheetColorIndex="17"/>
          </a:solidFill>
          <a:prstDash val="solid"/>
          <a:round/>
          <a:headEnd type="none" w="med" len="med"/>
          <a:tailEnd type="triangle" w="lg"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523875</xdr:colOff>
      <xdr:row>11</xdr:row>
      <xdr:rowOff>66675</xdr:rowOff>
    </xdr:from>
    <xdr:to>
      <xdr:col>25</xdr:col>
      <xdr:colOff>609600</xdr:colOff>
      <xdr:row>30</xdr:row>
      <xdr:rowOff>104775</xdr:rowOff>
    </xdr:to>
    <xdr:sp macro="" textlink="">
      <xdr:nvSpPr>
        <xdr:cNvPr id="27" name="Freeform 33"/>
        <xdr:cNvSpPr>
          <a:spLocks/>
        </xdr:cNvSpPr>
      </xdr:nvSpPr>
      <xdr:spPr bwMode="auto">
        <a:xfrm>
          <a:off x="9553575" y="1323975"/>
          <a:ext cx="7210425" cy="2209800"/>
        </a:xfrm>
        <a:custGeom>
          <a:avLst/>
          <a:gdLst>
            <a:gd name="T0" fmla="*/ 0 w 757"/>
            <a:gd name="T1" fmla="*/ 0 h 232"/>
            <a:gd name="T2" fmla="*/ 3800475 w 757"/>
            <a:gd name="T3" fmla="*/ 361950 h 232"/>
            <a:gd name="T4" fmla="*/ 3571875 w 757"/>
            <a:gd name="T5" fmla="*/ 514350 h 232"/>
            <a:gd name="T6" fmla="*/ 6562725 w 757"/>
            <a:gd name="T7" fmla="*/ 1000125 h 232"/>
            <a:gd name="T8" fmla="*/ 7210425 w 757"/>
            <a:gd name="T9" fmla="*/ 2209800 h 232"/>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757" h="232">
              <a:moveTo>
                <a:pt x="0" y="0"/>
              </a:moveTo>
              <a:cubicBezTo>
                <a:pt x="168" y="14"/>
                <a:pt x="337" y="29"/>
                <a:pt x="399" y="38"/>
              </a:cubicBezTo>
              <a:cubicBezTo>
                <a:pt x="461" y="47"/>
                <a:pt x="327" y="43"/>
                <a:pt x="375" y="54"/>
              </a:cubicBezTo>
              <a:cubicBezTo>
                <a:pt x="423" y="65"/>
                <a:pt x="625" y="75"/>
                <a:pt x="689" y="105"/>
              </a:cubicBezTo>
              <a:cubicBezTo>
                <a:pt x="753" y="135"/>
                <a:pt x="755" y="183"/>
                <a:pt x="757" y="232"/>
              </a:cubicBezTo>
            </a:path>
          </a:pathLst>
        </a:custGeom>
        <a:noFill/>
        <a:ln w="38100" cap="flat" cmpd="sng">
          <a:solidFill>
            <a:srgbClr xmlns:mc="http://schemas.openxmlformats.org/markup-compatibility/2006" xmlns:a14="http://schemas.microsoft.com/office/drawing/2010/main" val="008000" mc:Ignorable="a14" a14:legacySpreadsheetColorIndex="17"/>
          </a:solidFill>
          <a:prstDash val="solid"/>
          <a:round/>
          <a:headEnd type="none" w="med" len="med"/>
          <a:tailEnd type="triangle" w="lg"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oneCell">
    <xdr:from>
      <xdr:col>2</xdr:col>
      <xdr:colOff>190500</xdr:colOff>
      <xdr:row>23</xdr:row>
      <xdr:rowOff>85725</xdr:rowOff>
    </xdr:from>
    <xdr:to>
      <xdr:col>3</xdr:col>
      <xdr:colOff>447675</xdr:colOff>
      <xdr:row>33</xdr:row>
      <xdr:rowOff>0</xdr:rowOff>
    </xdr:to>
    <xdr:pic>
      <xdr:nvPicPr>
        <xdr:cNvPr id="28" name="Picture 38" descr="VSM-Icons_Truck-Shipmen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7080" t="13792" r="4425" b="12643"/>
        <a:stretch>
          <a:fillRect/>
        </a:stretch>
      </xdr:blipFill>
      <xdr:spPr bwMode="auto">
        <a:xfrm>
          <a:off x="1447800" y="2714625"/>
          <a:ext cx="9429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276225</xdr:colOff>
      <xdr:row>23</xdr:row>
      <xdr:rowOff>38100</xdr:rowOff>
    </xdr:from>
    <xdr:to>
      <xdr:col>3</xdr:col>
      <xdr:colOff>171450</xdr:colOff>
      <xdr:row>34</xdr:row>
      <xdr:rowOff>38100</xdr:rowOff>
    </xdr:to>
    <xdr:sp macro="" textlink="">
      <xdr:nvSpPr>
        <xdr:cNvPr id="29" name="Freeform 39"/>
        <xdr:cNvSpPr>
          <a:spLocks/>
        </xdr:cNvSpPr>
      </xdr:nvSpPr>
      <xdr:spPr bwMode="auto">
        <a:xfrm>
          <a:off x="885825" y="2667000"/>
          <a:ext cx="1190625" cy="1257300"/>
        </a:xfrm>
        <a:custGeom>
          <a:avLst/>
          <a:gdLst>
            <a:gd name="T0" fmla="*/ 133528 w 107"/>
            <a:gd name="T1" fmla="*/ 0 h 157"/>
            <a:gd name="T2" fmla="*/ 178037 w 107"/>
            <a:gd name="T3" fmla="*/ 1057093 h 157"/>
            <a:gd name="T4" fmla="*/ 1190625 w 107"/>
            <a:gd name="T5" fmla="*/ 1225267 h 157"/>
            <a:gd name="T6" fmla="*/ 0 60000 65536"/>
            <a:gd name="T7" fmla="*/ 0 60000 65536"/>
            <a:gd name="T8" fmla="*/ 0 60000 65536"/>
          </a:gdLst>
          <a:ahLst/>
          <a:cxnLst>
            <a:cxn ang="T6">
              <a:pos x="T0" y="T1"/>
            </a:cxn>
            <a:cxn ang="T7">
              <a:pos x="T2" y="T3"/>
            </a:cxn>
            <a:cxn ang="T8">
              <a:pos x="T4" y="T5"/>
            </a:cxn>
          </a:cxnLst>
          <a:rect l="0" t="0" r="r" b="b"/>
          <a:pathLst>
            <a:path w="107" h="157">
              <a:moveTo>
                <a:pt x="12" y="0"/>
              </a:moveTo>
              <a:cubicBezTo>
                <a:pt x="6" y="53"/>
                <a:pt x="0" y="107"/>
                <a:pt x="16" y="132"/>
              </a:cubicBezTo>
              <a:cubicBezTo>
                <a:pt x="32" y="157"/>
                <a:pt x="69" y="155"/>
                <a:pt x="107" y="153"/>
              </a:cubicBezTo>
            </a:path>
          </a:pathLst>
        </a:custGeom>
        <a:noFill/>
        <a:ln w="127000" cap="flat" cmpd="sng">
          <a:solidFill>
            <a:srgbClr xmlns:mc="http://schemas.openxmlformats.org/markup-compatibility/2006" xmlns:a14="http://schemas.microsoft.com/office/drawing/2010/main" val="3366FF" mc:Ignorable="a14" a14:legacySpreadsheetColorIndex="48"/>
          </a:solidFill>
          <a:prstDash val="solid"/>
          <a:round/>
          <a:headEnd type="none" w="med" len="med"/>
          <a:tailEnd type="triangle" w="sm" len="sm"/>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66675</xdr:colOff>
      <xdr:row>35</xdr:row>
      <xdr:rowOff>0</xdr:rowOff>
    </xdr:from>
    <xdr:to>
      <xdr:col>8</xdr:col>
      <xdr:colOff>619125</xdr:colOff>
      <xdr:row>35</xdr:row>
      <xdr:rowOff>0</xdr:rowOff>
    </xdr:to>
    <xdr:sp macro="" textlink="">
      <xdr:nvSpPr>
        <xdr:cNvPr id="30" name="Line 40"/>
        <xdr:cNvSpPr>
          <a:spLocks noChangeShapeType="1"/>
        </xdr:cNvSpPr>
      </xdr:nvSpPr>
      <xdr:spPr bwMode="auto">
        <a:xfrm>
          <a:off x="4562475" y="4000500"/>
          <a:ext cx="1200150" cy="0"/>
        </a:xfrm>
        <a:prstGeom prst="line">
          <a:avLst/>
        </a:prstGeom>
        <a:noFill/>
        <a:ln w="152400">
          <a:solidFill>
            <a:srgbClr xmlns:mc="http://schemas.openxmlformats.org/markup-compatibility/2006" xmlns:a14="http://schemas.microsoft.com/office/drawing/2010/main" val="3366FF" mc:Ignorable="a14" a14:legacySpreadsheetColorIndex="48"/>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11</xdr:col>
      <xdr:colOff>66675</xdr:colOff>
      <xdr:row>35</xdr:row>
      <xdr:rowOff>9525</xdr:rowOff>
    </xdr:from>
    <xdr:to>
      <xdr:col>12</xdr:col>
      <xdr:colOff>619125</xdr:colOff>
      <xdr:row>35</xdr:row>
      <xdr:rowOff>9525</xdr:rowOff>
    </xdr:to>
    <xdr:sp macro="" textlink="">
      <xdr:nvSpPr>
        <xdr:cNvPr id="31" name="Line 41"/>
        <xdr:cNvSpPr>
          <a:spLocks noChangeShapeType="1"/>
        </xdr:cNvSpPr>
      </xdr:nvSpPr>
      <xdr:spPr bwMode="auto">
        <a:xfrm>
          <a:off x="7153275" y="4010025"/>
          <a:ext cx="1200150" cy="0"/>
        </a:xfrm>
        <a:prstGeom prst="line">
          <a:avLst/>
        </a:prstGeom>
        <a:noFill/>
        <a:ln w="152400">
          <a:solidFill>
            <a:srgbClr xmlns:mc="http://schemas.openxmlformats.org/markup-compatibility/2006" xmlns:a14="http://schemas.microsoft.com/office/drawing/2010/main" val="3366FF" mc:Ignorable="a14" a14:legacySpreadsheetColorIndex="48"/>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15</xdr:col>
      <xdr:colOff>66675</xdr:colOff>
      <xdr:row>35</xdr:row>
      <xdr:rowOff>0</xdr:rowOff>
    </xdr:from>
    <xdr:to>
      <xdr:col>16</xdr:col>
      <xdr:colOff>619125</xdr:colOff>
      <xdr:row>35</xdr:row>
      <xdr:rowOff>0</xdr:rowOff>
    </xdr:to>
    <xdr:sp macro="" textlink="">
      <xdr:nvSpPr>
        <xdr:cNvPr id="32" name="Line 42"/>
        <xdr:cNvSpPr>
          <a:spLocks noChangeShapeType="1"/>
        </xdr:cNvSpPr>
      </xdr:nvSpPr>
      <xdr:spPr bwMode="auto">
        <a:xfrm>
          <a:off x="9744075" y="4000500"/>
          <a:ext cx="1200150" cy="0"/>
        </a:xfrm>
        <a:prstGeom prst="line">
          <a:avLst/>
        </a:prstGeom>
        <a:noFill/>
        <a:ln w="152400">
          <a:solidFill>
            <a:srgbClr xmlns:mc="http://schemas.openxmlformats.org/markup-compatibility/2006" xmlns:a14="http://schemas.microsoft.com/office/drawing/2010/main" val="3366FF" mc:Ignorable="a14" a14:legacySpreadsheetColorIndex="48"/>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19</xdr:col>
      <xdr:colOff>95250</xdr:colOff>
      <xdr:row>35</xdr:row>
      <xdr:rowOff>0</xdr:rowOff>
    </xdr:from>
    <xdr:to>
      <xdr:col>21</xdr:col>
      <xdr:colOff>0</xdr:colOff>
      <xdr:row>35</xdr:row>
      <xdr:rowOff>0</xdr:rowOff>
    </xdr:to>
    <xdr:sp macro="" textlink="">
      <xdr:nvSpPr>
        <xdr:cNvPr id="33" name="Line 43"/>
        <xdr:cNvSpPr>
          <a:spLocks noChangeShapeType="1"/>
        </xdr:cNvSpPr>
      </xdr:nvSpPr>
      <xdr:spPr bwMode="auto">
        <a:xfrm>
          <a:off x="12363450" y="4000500"/>
          <a:ext cx="1200150" cy="0"/>
        </a:xfrm>
        <a:prstGeom prst="line">
          <a:avLst/>
        </a:prstGeom>
        <a:noFill/>
        <a:ln w="152400">
          <a:solidFill>
            <a:srgbClr xmlns:mc="http://schemas.openxmlformats.org/markup-compatibility/2006" xmlns:a14="http://schemas.microsoft.com/office/drawing/2010/main" val="3366FF" mc:Ignorable="a14" a14:legacySpreadsheetColorIndex="48"/>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23</xdr:col>
      <xdr:colOff>85725</xdr:colOff>
      <xdr:row>35</xdr:row>
      <xdr:rowOff>0</xdr:rowOff>
    </xdr:from>
    <xdr:to>
      <xdr:col>24</xdr:col>
      <xdr:colOff>638175</xdr:colOff>
      <xdr:row>35</xdr:row>
      <xdr:rowOff>0</xdr:rowOff>
    </xdr:to>
    <xdr:sp macro="" textlink="">
      <xdr:nvSpPr>
        <xdr:cNvPr id="34" name="Line 44"/>
        <xdr:cNvSpPr>
          <a:spLocks noChangeShapeType="1"/>
        </xdr:cNvSpPr>
      </xdr:nvSpPr>
      <xdr:spPr bwMode="auto">
        <a:xfrm>
          <a:off x="14944725" y="4000500"/>
          <a:ext cx="1200150" cy="0"/>
        </a:xfrm>
        <a:prstGeom prst="line">
          <a:avLst/>
        </a:prstGeom>
        <a:noFill/>
        <a:ln w="152400">
          <a:solidFill>
            <a:srgbClr xmlns:mc="http://schemas.openxmlformats.org/markup-compatibility/2006" xmlns:a14="http://schemas.microsoft.com/office/drawing/2010/main" val="3366FF" mc:Ignorable="a14" a14:legacySpreadsheetColorIndex="48"/>
          </a:solidFill>
          <a:round/>
          <a:headEnd/>
          <a:tailEnd type="triangle" w="sm" len="sm"/>
        </a:ln>
        <a:extLst>
          <a:ext uri="{909E8E84-426E-40DD-AFC4-6F175D3DCCD1}">
            <a14:hiddenFill xmlns:a14="http://schemas.microsoft.com/office/drawing/2010/main">
              <a:noFill/>
            </a14:hiddenFill>
          </a:ext>
        </a:extLst>
      </xdr:spPr>
    </xdr:sp>
    <xdr:clientData/>
  </xdr:twoCellAnchor>
  <xdr:twoCellAnchor editAs="oneCell">
    <xdr:from>
      <xdr:col>28</xdr:col>
      <xdr:colOff>85725</xdr:colOff>
      <xdr:row>31</xdr:row>
      <xdr:rowOff>9525</xdr:rowOff>
    </xdr:from>
    <xdr:to>
      <xdr:col>29</xdr:col>
      <xdr:colOff>595106</xdr:colOff>
      <xdr:row>37</xdr:row>
      <xdr:rowOff>85725</xdr:rowOff>
    </xdr:to>
    <xdr:pic>
      <xdr:nvPicPr>
        <xdr:cNvPr id="35" name="Picture 45" descr="VSM-Icons_Air-Shipment"/>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t="22989" b="21838"/>
        <a:stretch>
          <a:fillRect/>
        </a:stretch>
      </xdr:blipFill>
      <xdr:spPr bwMode="auto">
        <a:xfrm>
          <a:off x="18145125" y="3552825"/>
          <a:ext cx="111898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3</xdr:row>
      <xdr:rowOff>0</xdr:rowOff>
    </xdr:from>
    <xdr:to>
      <xdr:col>24</xdr:col>
      <xdr:colOff>0</xdr:colOff>
      <xdr:row>23</xdr:row>
      <xdr:rowOff>0</xdr:rowOff>
    </xdr:to>
    <xdr:sp macro="" textlink="">
      <xdr:nvSpPr>
        <xdr:cNvPr id="2" name="Line 1"/>
        <xdr:cNvSpPr>
          <a:spLocks noChangeShapeType="1"/>
        </xdr:cNvSpPr>
      </xdr:nvSpPr>
      <xdr:spPr bwMode="auto">
        <a:xfrm>
          <a:off x="6019800" y="962025"/>
          <a:ext cx="8553450" cy="4572000"/>
        </a:xfrm>
        <a:prstGeom prst="line">
          <a:avLst/>
        </a:prstGeom>
        <a:noFill/>
        <a:ln w="19050">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4</xdr:row>
      <xdr:rowOff>19050</xdr:rowOff>
    </xdr:from>
    <xdr:to>
      <xdr:col>1</xdr:col>
      <xdr:colOff>0</xdr:colOff>
      <xdr:row>4</xdr:row>
      <xdr:rowOff>933450</xdr:rowOff>
    </xdr:to>
    <xdr:sp macro="" textlink="">
      <xdr:nvSpPr>
        <xdr:cNvPr id="2" name="Line 1"/>
        <xdr:cNvSpPr>
          <a:spLocks noChangeShapeType="1"/>
        </xdr:cNvSpPr>
      </xdr:nvSpPr>
      <xdr:spPr bwMode="auto">
        <a:xfrm>
          <a:off x="19050" y="752475"/>
          <a:ext cx="2162175"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0</xdr:col>
      <xdr:colOff>1571625</xdr:colOff>
      <xdr:row>4</xdr:row>
      <xdr:rowOff>171450</xdr:rowOff>
    </xdr:from>
    <xdr:ext cx="314325" cy="190500"/>
    <xdr:sp macro="" textlink="">
      <xdr:nvSpPr>
        <xdr:cNvPr id="3" name="Text Box 2"/>
        <xdr:cNvSpPr txBox="1">
          <a:spLocks noChangeArrowheads="1"/>
        </xdr:cNvSpPr>
      </xdr:nvSpPr>
      <xdr:spPr bwMode="auto">
        <a:xfrm>
          <a:off x="1571625" y="904875"/>
          <a:ext cx="314325"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900" b="1" i="0" u="none" strike="noStrike" baseline="0">
              <a:solidFill>
                <a:srgbClr val="000000"/>
              </a:solidFill>
              <a:latin typeface="Arial"/>
              <a:cs typeface="Arial"/>
            </a:rPr>
            <a:t>Role</a:t>
          </a:r>
          <a:endParaRPr lang="en-IN"/>
        </a:p>
      </xdr:txBody>
    </xdr:sp>
    <xdr:clientData/>
  </xdr:oneCellAnchor>
  <xdr:oneCellAnchor>
    <xdr:from>
      <xdr:col>0</xdr:col>
      <xdr:colOff>76200</xdr:colOff>
      <xdr:row>4</xdr:row>
      <xdr:rowOff>552450</xdr:rowOff>
    </xdr:from>
    <xdr:ext cx="1095375" cy="342900"/>
    <xdr:sp macro="" textlink="">
      <xdr:nvSpPr>
        <xdr:cNvPr id="4" name="Text Box 3"/>
        <xdr:cNvSpPr txBox="1">
          <a:spLocks noChangeArrowheads="1"/>
        </xdr:cNvSpPr>
      </xdr:nvSpPr>
      <xdr:spPr bwMode="auto">
        <a:xfrm>
          <a:off x="76200" y="1285875"/>
          <a:ext cx="1095375" cy="342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IN" sz="900" b="1" i="0" u="none" strike="noStrike" baseline="0">
              <a:solidFill>
                <a:srgbClr val="000000"/>
              </a:solidFill>
              <a:latin typeface="Arial"/>
              <a:cs typeface="Arial"/>
            </a:rPr>
            <a:t>Project Deliverable</a:t>
          </a:r>
        </a:p>
        <a:p>
          <a:pPr algn="ctr" rtl="0">
            <a:defRPr sz="1000"/>
          </a:pPr>
          <a:r>
            <a:rPr lang="en-IN" sz="900" b="1" i="0" u="none" strike="noStrike" baseline="0">
              <a:solidFill>
                <a:srgbClr val="000000"/>
              </a:solidFill>
              <a:latin typeface="Arial"/>
              <a:cs typeface="Arial"/>
            </a:rPr>
            <a:t>(or Activity)</a:t>
          </a:r>
          <a:endParaRPr lang="en-IN"/>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12</xdr:col>
      <xdr:colOff>154305</xdr:colOff>
      <xdr:row>58</xdr:row>
      <xdr:rowOff>83820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248775"/>
          <a:ext cx="5173980" cy="2750820"/>
        </a:xfrm>
        <a:prstGeom prst="rect">
          <a:avLst/>
        </a:prstGeom>
      </xdr:spPr>
    </xdr:pic>
    <xdr:clientData/>
  </xdr:twoCellAnchor>
  <xdr:twoCellAnchor editAs="oneCell">
    <xdr:from>
      <xdr:col>14</xdr:col>
      <xdr:colOff>0</xdr:colOff>
      <xdr:row>44</xdr:row>
      <xdr:rowOff>0</xdr:rowOff>
    </xdr:from>
    <xdr:to>
      <xdr:col>22</xdr:col>
      <xdr:colOff>60188</xdr:colOff>
      <xdr:row>58</xdr:row>
      <xdr:rowOff>88631</xdr:rowOff>
    </xdr:to>
    <xdr:pic>
      <xdr:nvPicPr>
        <xdr:cNvPr id="3" name="Picture 2"/>
        <xdr:cNvPicPr>
          <a:picLocks noChangeAspect="1"/>
        </xdr:cNvPicPr>
      </xdr:nvPicPr>
      <xdr:blipFill>
        <a:blip xmlns:r="http://schemas.openxmlformats.org/officeDocument/2006/relationships" r:embed="rId2"/>
        <a:stretch>
          <a:fillRect/>
        </a:stretch>
      </xdr:blipFill>
      <xdr:spPr>
        <a:xfrm>
          <a:off x="5981700" y="9248775"/>
          <a:ext cx="4279763" cy="2755631"/>
        </a:xfrm>
        <a:prstGeom prst="rect">
          <a:avLst/>
        </a:prstGeom>
      </xdr:spPr>
    </xdr:pic>
    <xdr:clientData/>
  </xdr:twoCellAnchor>
  <xdr:twoCellAnchor editAs="oneCell">
    <xdr:from>
      <xdr:col>0</xdr:col>
      <xdr:colOff>0</xdr:colOff>
      <xdr:row>60</xdr:row>
      <xdr:rowOff>0</xdr:rowOff>
    </xdr:from>
    <xdr:to>
      <xdr:col>16</xdr:col>
      <xdr:colOff>384689</xdr:colOff>
      <xdr:row>79</xdr:row>
      <xdr:rowOff>184734</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2296775"/>
          <a:ext cx="7395089" cy="3804234"/>
        </a:xfrm>
        <a:prstGeom prst="rect">
          <a:avLst/>
        </a:prstGeom>
      </xdr:spPr>
    </xdr:pic>
    <xdr:clientData/>
  </xdr:twoCellAnchor>
  <xdr:twoCellAnchor editAs="oneCell">
    <xdr:from>
      <xdr:col>0</xdr:col>
      <xdr:colOff>0</xdr:colOff>
      <xdr:row>82</xdr:row>
      <xdr:rowOff>0</xdr:rowOff>
    </xdr:from>
    <xdr:to>
      <xdr:col>10</xdr:col>
      <xdr:colOff>403114</xdr:colOff>
      <xdr:row>96</xdr:row>
      <xdr:rowOff>88631</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6487775"/>
          <a:ext cx="4584589" cy="2755631"/>
        </a:xfrm>
        <a:prstGeom prst="rect">
          <a:avLst/>
        </a:prstGeom>
      </xdr:spPr>
    </xdr:pic>
    <xdr:clientData/>
  </xdr:twoCellAnchor>
  <xdr:twoCellAnchor editAs="oneCell">
    <xdr:from>
      <xdr:col>14</xdr:col>
      <xdr:colOff>0</xdr:colOff>
      <xdr:row>82</xdr:row>
      <xdr:rowOff>0</xdr:rowOff>
    </xdr:from>
    <xdr:to>
      <xdr:col>22</xdr:col>
      <xdr:colOff>358918</xdr:colOff>
      <xdr:row>96</xdr:row>
      <xdr:rowOff>88631</xdr:rowOff>
    </xdr:to>
    <xdr:pic>
      <xdr:nvPicPr>
        <xdr:cNvPr id="6" name="Picture 5"/>
        <xdr:cNvPicPr>
          <a:picLocks noChangeAspect="1"/>
        </xdr:cNvPicPr>
      </xdr:nvPicPr>
      <xdr:blipFill>
        <a:blip xmlns:r="http://schemas.openxmlformats.org/officeDocument/2006/relationships" r:embed="rId5"/>
        <a:stretch>
          <a:fillRect/>
        </a:stretch>
      </xdr:blipFill>
      <xdr:spPr>
        <a:xfrm>
          <a:off x="5981700" y="16487775"/>
          <a:ext cx="4578493" cy="2755631"/>
        </a:xfrm>
        <a:prstGeom prst="rect">
          <a:avLst/>
        </a:prstGeom>
      </xdr:spPr>
    </xdr:pic>
    <xdr:clientData/>
  </xdr:twoCellAnchor>
  <xdr:twoCellAnchor editAs="oneCell">
    <xdr:from>
      <xdr:col>0</xdr:col>
      <xdr:colOff>0</xdr:colOff>
      <xdr:row>99</xdr:row>
      <xdr:rowOff>0</xdr:rowOff>
    </xdr:from>
    <xdr:to>
      <xdr:col>10</xdr:col>
      <xdr:colOff>403114</xdr:colOff>
      <xdr:row>113</xdr:row>
      <xdr:rowOff>88631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9726275"/>
          <a:ext cx="4584589" cy="27556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171450</xdr:colOff>
      <xdr:row>0</xdr:row>
      <xdr:rowOff>190500</xdr:rowOff>
    </xdr:from>
    <xdr:to>
      <xdr:col>17</xdr:col>
      <xdr:colOff>504825</xdr:colOff>
      <xdr:row>17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AppData/Local/Temp/Temp1_gantt-chart-project-management-template.zip/gantt-chart-project-management-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inutha.BLRSIMPLILEARN\AppData\Local\Microsoft\Windows\Temporary%20Internet%20Files\Content.Outlook\9S1PQJJN\updated_templates%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tt Chart Template"/>
      <sheetName val="Legend"/>
    </sheetNames>
    <sheetDataSet>
      <sheetData sheetId="0"/>
      <sheetData sheetId="1">
        <row r="3">
          <cell r="B3" t="str">
            <v>Planned</v>
          </cell>
          <cell r="D3" t="str">
            <v>█</v>
          </cell>
        </row>
        <row r="4">
          <cell r="B4" t="str">
            <v>Actual</v>
          </cell>
          <cell r="D4" t="str">
            <v>↓</v>
          </cell>
        </row>
        <row r="5">
          <cell r="D5" t="str">
            <v>•</v>
          </cell>
        </row>
        <row r="6">
          <cell r="D6" t="str">
            <v xml:space="preserve">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ject Prioritization Matrix"/>
      <sheetName val="GRR Done"/>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mailto:kevin_n_otto@yahoo.com" TargetMode="External"/><Relationship Id="rId2" Type="http://schemas.openxmlformats.org/officeDocument/2006/relationships/hyperlink" Target="http://www.robuststrategy.com/" TargetMode="External"/><Relationship Id="rId1" Type="http://schemas.openxmlformats.org/officeDocument/2006/relationships/hyperlink" Target="http://www.kevinotto.com/RSS/templates/QFD%20Template.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hyperlink" Target="http://www.kevinotto.com/RSS/templates/C&amp;E%20Matrix.xls" TargetMode="External"/><Relationship Id="rId2" Type="http://schemas.openxmlformats.org/officeDocument/2006/relationships/hyperlink" Target="http://www.kevinotto.com/" TargetMode="External"/><Relationship Id="rId1" Type="http://schemas.openxmlformats.org/officeDocument/2006/relationships/hyperlink" Target="mailto:kevin_n_otto@yahoo.com"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AppData/Local/Temp/Aux%20Tools/TAKT.xlsx" TargetMode="External"/><Relationship Id="rId13" Type="http://schemas.openxmlformats.org/officeDocument/2006/relationships/hyperlink" Target="..\..\AppData\Local\Temp\Aux%20Tools\Control%20Tools.zip" TargetMode="External"/><Relationship Id="rId3" Type="http://schemas.openxmlformats.org/officeDocument/2006/relationships/hyperlink" Target="../../AppData/Local/Temp/Aux%20Tools/DOE%20Terms.docx" TargetMode="External"/><Relationship Id="rId7" Type="http://schemas.openxmlformats.org/officeDocument/2006/relationships/hyperlink" Target="../../AppData/Local/Temp/Aux%20Tools/Lean%20Scorecard.xlsm" TargetMode="External"/><Relationship Id="rId12" Type="http://schemas.openxmlformats.org/officeDocument/2006/relationships/hyperlink" Target="../../AppData/Local/Temp/Aux%20Tools/Control%20Tools.zip" TargetMode="External"/><Relationship Id="rId2" Type="http://schemas.openxmlformats.org/officeDocument/2006/relationships/hyperlink" Target="../../AppData/Local/Temp/Aux%20Tools/Design%20FMEA%20Template.xls" TargetMode="External"/><Relationship Id="rId1" Type="http://schemas.openxmlformats.org/officeDocument/2006/relationships/hyperlink" Target="../../AppData/Local/Temp/Aux%20Tools/Design%20FMEA%20Template.xls" TargetMode="External"/><Relationship Id="rId6" Type="http://schemas.openxmlformats.org/officeDocument/2006/relationships/hyperlink" Target="../../AppData/Local/Temp/Aux%20Tools/Improve%20Toolkit.xlsx" TargetMode="External"/><Relationship Id="rId11" Type="http://schemas.openxmlformats.org/officeDocument/2006/relationships/hyperlink" Target="../../AppData/Local/Temp/Aux%20Tools/Project%20Charter.docx" TargetMode="External"/><Relationship Id="rId5" Type="http://schemas.openxmlformats.org/officeDocument/2006/relationships/hyperlink" Target="../../AppData/Local/Temp/Aux%20Tools/Hypothesis%20Tests.xlsx" TargetMode="External"/><Relationship Id="rId10" Type="http://schemas.openxmlformats.org/officeDocument/2006/relationships/hyperlink" Target="../../AppData/Local/Temp/Aux%20Tools/Yamazumi.xlsm" TargetMode="External"/><Relationship Id="rId4" Type="http://schemas.openxmlformats.org/officeDocument/2006/relationships/hyperlink" Target="../../AppData/Local/Temp/Aux%20Tools/DOE.xlsx" TargetMode="External"/><Relationship Id="rId9" Type="http://schemas.openxmlformats.org/officeDocument/2006/relationships/hyperlink" Target="../../AppData/Local/Temp/Aux%20Tools/Value%20Added%20Flow.xls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B3" sqref="B3"/>
    </sheetView>
  </sheetViews>
  <sheetFormatPr defaultRowHeight="15"/>
  <cols>
    <col min="1" max="1" width="19.28515625" customWidth="1"/>
    <col min="2" max="2" width="57" customWidth="1"/>
    <col min="3" max="3" width="43.42578125" customWidth="1"/>
  </cols>
  <sheetData>
    <row r="1" spans="1:3" ht="18.75">
      <c r="A1" s="8" t="s">
        <v>0</v>
      </c>
      <c r="B1" s="9" t="s">
        <v>1</v>
      </c>
      <c r="C1" s="10" t="s">
        <v>2</v>
      </c>
    </row>
    <row r="2" spans="1:3" s="1" customFormat="1" ht="58.5" customHeight="1">
      <c r="A2" s="3" t="s">
        <v>3</v>
      </c>
      <c r="B2" s="2" t="s">
        <v>4</v>
      </c>
      <c r="C2" s="4" t="s">
        <v>5</v>
      </c>
    </row>
    <row r="3" spans="1:3" s="1" customFormat="1" ht="58.5" customHeight="1">
      <c r="A3" s="3" t="s">
        <v>6</v>
      </c>
      <c r="B3" s="2" t="s">
        <v>7</v>
      </c>
      <c r="C3" s="4" t="s">
        <v>8</v>
      </c>
    </row>
    <row r="4" spans="1:3" s="1" customFormat="1" ht="58.5" customHeight="1">
      <c r="A4" s="3" t="s">
        <v>9</v>
      </c>
      <c r="B4" s="2" t="s">
        <v>10</v>
      </c>
      <c r="C4" s="4" t="s">
        <v>11</v>
      </c>
    </row>
    <row r="5" spans="1:3" s="1" customFormat="1" ht="58.5" customHeight="1">
      <c r="A5" s="3" t="s">
        <v>12</v>
      </c>
      <c r="B5" s="2" t="s">
        <v>13</v>
      </c>
      <c r="C5" s="4" t="s">
        <v>14</v>
      </c>
    </row>
    <row r="6" spans="1:3" s="1" customFormat="1" ht="58.5" customHeight="1">
      <c r="A6" s="3" t="s">
        <v>15</v>
      </c>
      <c r="B6" s="2" t="s">
        <v>16</v>
      </c>
      <c r="C6" s="4" t="s">
        <v>17</v>
      </c>
    </row>
    <row r="7" spans="1:3" s="1" customFormat="1" ht="58.5" customHeight="1">
      <c r="A7" s="3" t="s">
        <v>18</v>
      </c>
      <c r="B7" s="2" t="s">
        <v>19</v>
      </c>
      <c r="C7" s="4" t="s">
        <v>20</v>
      </c>
    </row>
    <row r="8" spans="1:3" s="1" customFormat="1" ht="58.5" customHeight="1">
      <c r="A8" s="3" t="s">
        <v>21</v>
      </c>
      <c r="B8" s="2" t="s">
        <v>22</v>
      </c>
      <c r="C8" s="4" t="s">
        <v>23</v>
      </c>
    </row>
    <row r="9" spans="1:3" s="1" customFormat="1" ht="58.5" customHeight="1">
      <c r="A9" s="3" t="s">
        <v>24</v>
      </c>
      <c r="B9" s="2" t="s">
        <v>25</v>
      </c>
      <c r="C9" s="4" t="s">
        <v>26</v>
      </c>
    </row>
    <row r="10" spans="1:3" s="1" customFormat="1" ht="58.5" customHeight="1">
      <c r="A10" s="3" t="s">
        <v>27</v>
      </c>
      <c r="B10" s="2" t="s">
        <v>28</v>
      </c>
      <c r="C10" s="4" t="s">
        <v>29</v>
      </c>
    </row>
    <row r="11" spans="1:3" s="1" customFormat="1" ht="58.5" customHeight="1">
      <c r="A11" s="3" t="s">
        <v>30</v>
      </c>
      <c r="B11" s="2" t="s">
        <v>31</v>
      </c>
      <c r="C11" s="4" t="s">
        <v>32</v>
      </c>
    </row>
    <row r="12" spans="1:3" s="1" customFormat="1" ht="58.5" customHeight="1">
      <c r="A12" s="3" t="s">
        <v>33</v>
      </c>
      <c r="B12" s="2" t="s">
        <v>34</v>
      </c>
      <c r="C12" s="4" t="s">
        <v>35</v>
      </c>
    </row>
    <row r="13" spans="1:3" s="1" customFormat="1" ht="58.5" customHeight="1">
      <c r="A13" s="3" t="s">
        <v>36</v>
      </c>
      <c r="B13" s="2" t="s">
        <v>37</v>
      </c>
      <c r="C13" s="4" t="s">
        <v>38</v>
      </c>
    </row>
    <row r="14" spans="1:3" s="1" customFormat="1" ht="58.5" customHeight="1">
      <c r="A14" s="3" t="s">
        <v>39</v>
      </c>
      <c r="B14" s="2" t="s">
        <v>40</v>
      </c>
      <c r="C14" s="4" t="s">
        <v>41</v>
      </c>
    </row>
    <row r="15" spans="1:3" s="1" customFormat="1" ht="58.5" customHeight="1">
      <c r="A15" s="3" t="s">
        <v>42</v>
      </c>
      <c r="B15" s="2" t="s">
        <v>43</v>
      </c>
      <c r="C15" s="4" t="s">
        <v>44</v>
      </c>
    </row>
    <row r="16" spans="1:3" s="1" customFormat="1" ht="93" customHeight="1">
      <c r="A16" s="3" t="s">
        <v>45</v>
      </c>
      <c r="B16" s="2" t="s">
        <v>46</v>
      </c>
      <c r="C16" s="4" t="s">
        <v>47</v>
      </c>
    </row>
    <row r="17" spans="1:3" s="1" customFormat="1" ht="105" customHeight="1">
      <c r="A17" s="3" t="s">
        <v>48</v>
      </c>
      <c r="B17" s="2" t="s">
        <v>49</v>
      </c>
      <c r="C17" s="4" t="s">
        <v>50</v>
      </c>
    </row>
    <row r="18" spans="1:3" s="1" customFormat="1" ht="58.5" customHeight="1">
      <c r="A18" s="3" t="s">
        <v>51</v>
      </c>
      <c r="B18" s="2" t="s">
        <v>52</v>
      </c>
      <c r="C18" s="4" t="s">
        <v>53</v>
      </c>
    </row>
    <row r="19" spans="1:3" s="1" customFormat="1" ht="58.5" customHeight="1">
      <c r="A19" s="3" t="s">
        <v>54</v>
      </c>
      <c r="B19" s="2" t="s">
        <v>55</v>
      </c>
      <c r="C19" s="4" t="s">
        <v>56</v>
      </c>
    </row>
    <row r="20" spans="1:3" s="1" customFormat="1" ht="58.5" customHeight="1">
      <c r="A20" s="3" t="s">
        <v>57</v>
      </c>
      <c r="B20" s="2" t="s">
        <v>58</v>
      </c>
      <c r="C20" s="4" t="s">
        <v>59</v>
      </c>
    </row>
    <row r="21" spans="1:3" s="1" customFormat="1" ht="58.5" customHeight="1">
      <c r="A21" s="3" t="s">
        <v>60</v>
      </c>
      <c r="B21" s="2" t="s">
        <v>61</v>
      </c>
      <c r="C21" s="4" t="s">
        <v>62</v>
      </c>
    </row>
    <row r="22" spans="1:3" s="1" customFormat="1" ht="58.5" customHeight="1" thickBot="1">
      <c r="A22" s="5" t="s">
        <v>63</v>
      </c>
      <c r="B22" s="6" t="s">
        <v>64</v>
      </c>
      <c r="C22" s="7" t="s">
        <v>65</v>
      </c>
    </row>
    <row r="23" spans="1:3" s="1" customFormat="1" ht="58.5" customHeight="1"/>
    <row r="24" spans="1:3" s="1" customFormat="1" ht="58.5" customHeight="1"/>
    <row r="25" spans="1:3" s="1" customFormat="1" ht="58.5" customHeight="1"/>
    <row r="26" spans="1:3" s="1" customFormat="1" ht="58.5" customHeight="1"/>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L19" sqref="L19"/>
    </sheetView>
  </sheetViews>
  <sheetFormatPr defaultRowHeight="15"/>
  <cols>
    <col min="1" max="1" width="18.28515625" bestFit="1" customWidth="1"/>
    <col min="2" max="2" width="6" customWidth="1"/>
    <col min="3" max="3" width="5.28515625" customWidth="1"/>
    <col min="4" max="9" width="5.140625" customWidth="1"/>
    <col min="10" max="10" width="7.85546875" customWidth="1"/>
  </cols>
  <sheetData>
    <row r="1" spans="1:10" ht="15.75" thickBot="1">
      <c r="I1" t="s">
        <v>216</v>
      </c>
      <c r="J1" t="s">
        <v>217</v>
      </c>
    </row>
    <row r="2" spans="1:10">
      <c r="A2" s="24" t="s">
        <v>208</v>
      </c>
      <c r="B2" s="25">
        <v>0</v>
      </c>
      <c r="C2" s="25">
        <v>1</v>
      </c>
      <c r="D2" s="25">
        <v>0</v>
      </c>
      <c r="E2" s="25">
        <v>1</v>
      </c>
      <c r="F2" s="25">
        <v>0</v>
      </c>
      <c r="G2" s="25">
        <v>0</v>
      </c>
      <c r="H2" s="25">
        <v>0</v>
      </c>
      <c r="I2" s="25">
        <v>2</v>
      </c>
      <c r="J2" s="105">
        <f>I2/$I$10</f>
        <v>0.125</v>
      </c>
    </row>
    <row r="3" spans="1:10">
      <c r="A3" s="27" t="s">
        <v>209</v>
      </c>
      <c r="B3" s="22">
        <v>1</v>
      </c>
      <c r="C3" s="22">
        <v>0</v>
      </c>
      <c r="D3" s="22">
        <v>1</v>
      </c>
      <c r="E3" s="22">
        <v>1</v>
      </c>
      <c r="F3" s="22">
        <v>0</v>
      </c>
      <c r="G3" s="22">
        <v>0</v>
      </c>
      <c r="H3" s="22">
        <v>1</v>
      </c>
      <c r="I3" s="22">
        <v>3</v>
      </c>
      <c r="J3" s="106">
        <f t="shared" ref="J3:J9" si="0">I3/$I$10</f>
        <v>0.1875</v>
      </c>
    </row>
    <row r="4" spans="1:10">
      <c r="A4" s="27" t="s">
        <v>210</v>
      </c>
      <c r="B4" s="22">
        <v>0</v>
      </c>
      <c r="C4" s="22">
        <v>1</v>
      </c>
      <c r="D4" s="22">
        <v>1</v>
      </c>
      <c r="E4" s="22">
        <v>0</v>
      </c>
      <c r="F4" s="22">
        <v>0</v>
      </c>
      <c r="G4" s="22">
        <v>1</v>
      </c>
      <c r="H4" s="22">
        <v>0</v>
      </c>
      <c r="I4" s="22">
        <f>SUM(B4:H4)</f>
        <v>3</v>
      </c>
      <c r="J4" s="106">
        <f t="shared" si="0"/>
        <v>0.1875</v>
      </c>
    </row>
    <row r="5" spans="1:10">
      <c r="A5" s="27" t="s">
        <v>211</v>
      </c>
      <c r="B5" s="22">
        <v>0</v>
      </c>
      <c r="C5" s="22">
        <v>0</v>
      </c>
      <c r="D5" s="22">
        <v>0</v>
      </c>
      <c r="E5" s="22"/>
      <c r="F5" s="22"/>
      <c r="G5" s="22"/>
      <c r="H5" s="22"/>
      <c r="I5" s="22">
        <f t="shared" ref="I5:I9" si="1">SUM(B5:H5)</f>
        <v>0</v>
      </c>
      <c r="J5" s="106">
        <f t="shared" si="0"/>
        <v>0</v>
      </c>
    </row>
    <row r="6" spans="1:10">
      <c r="A6" s="27" t="s">
        <v>212</v>
      </c>
      <c r="B6" s="22">
        <v>0</v>
      </c>
      <c r="C6" s="22">
        <v>1</v>
      </c>
      <c r="D6" s="22">
        <v>0</v>
      </c>
      <c r="E6" s="22">
        <v>1</v>
      </c>
      <c r="F6" s="22">
        <v>0</v>
      </c>
      <c r="G6" s="22"/>
      <c r="H6" s="22"/>
      <c r="I6" s="22">
        <f t="shared" si="1"/>
        <v>2</v>
      </c>
      <c r="J6" s="106">
        <f t="shared" si="0"/>
        <v>0.125</v>
      </c>
    </row>
    <row r="7" spans="1:10">
      <c r="A7" s="27" t="s">
        <v>213</v>
      </c>
      <c r="B7" s="22">
        <v>1</v>
      </c>
      <c r="C7" s="22">
        <v>0</v>
      </c>
      <c r="D7" s="22">
        <v>1</v>
      </c>
      <c r="E7" s="22">
        <v>0</v>
      </c>
      <c r="F7" s="22">
        <v>1</v>
      </c>
      <c r="G7" s="22"/>
      <c r="H7" s="22"/>
      <c r="I7" s="22">
        <f t="shared" si="1"/>
        <v>3</v>
      </c>
      <c r="J7" s="106">
        <f t="shared" si="0"/>
        <v>0.1875</v>
      </c>
    </row>
    <row r="8" spans="1:10">
      <c r="A8" s="27" t="s">
        <v>214</v>
      </c>
      <c r="B8" s="22">
        <v>0</v>
      </c>
      <c r="C8" s="22">
        <v>0</v>
      </c>
      <c r="D8" s="22">
        <v>1</v>
      </c>
      <c r="E8" s="22"/>
      <c r="F8" s="22"/>
      <c r="G8" s="22"/>
      <c r="H8" s="22"/>
      <c r="I8" s="22">
        <f t="shared" si="1"/>
        <v>1</v>
      </c>
      <c r="J8" s="106">
        <f t="shared" si="0"/>
        <v>6.25E-2</v>
      </c>
    </row>
    <row r="9" spans="1:10" ht="15.75" thickBot="1">
      <c r="A9" s="30" t="s">
        <v>215</v>
      </c>
      <c r="B9" s="31">
        <v>0</v>
      </c>
      <c r="C9" s="31">
        <v>1</v>
      </c>
      <c r="D9" s="31">
        <v>0</v>
      </c>
      <c r="E9" s="31">
        <v>1</v>
      </c>
      <c r="F9" s="31"/>
      <c r="G9" s="31"/>
      <c r="H9" s="31"/>
      <c r="I9" s="31">
        <f t="shared" si="1"/>
        <v>2</v>
      </c>
      <c r="J9" s="107">
        <f t="shared" si="0"/>
        <v>0.125</v>
      </c>
    </row>
    <row r="10" spans="1:10">
      <c r="I10">
        <f>SUM(I2:I9)</f>
        <v>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59"/>
  <sheetViews>
    <sheetView topLeftCell="A46" workbookViewId="0">
      <selection activeCell="G51" sqref="G51"/>
    </sheetView>
  </sheetViews>
  <sheetFormatPr defaultColWidth="11.42578125" defaultRowHeight="15"/>
  <cols>
    <col min="1" max="1" width="5.85546875" style="108" bestFit="1" customWidth="1"/>
    <col min="2" max="2" width="60.7109375" style="109" customWidth="1"/>
    <col min="3" max="3" width="19" style="109" customWidth="1"/>
    <col min="4" max="4" width="4.42578125" style="109" customWidth="1"/>
    <col min="5" max="5" width="13.85546875" style="109" customWidth="1"/>
    <col min="6" max="6" width="9.85546875" style="109" bestFit="1" customWidth="1"/>
    <col min="7" max="29" width="6.42578125" style="109" customWidth="1"/>
    <col min="30" max="37" width="4.28515625" style="109" customWidth="1"/>
    <col min="38" max="38" width="3.28515625" style="109" customWidth="1"/>
    <col min="39" max="39" width="3.42578125" style="109" customWidth="1"/>
    <col min="40" max="40" width="2.85546875" style="109" customWidth="1"/>
    <col min="41" max="42" width="3.28515625" style="110" customWidth="1"/>
    <col min="43" max="49" width="11.42578125" style="110" customWidth="1"/>
    <col min="50" max="256" width="11.42578125" style="109"/>
    <col min="257" max="257" width="5.85546875" style="109" bestFit="1" customWidth="1"/>
    <col min="258" max="258" width="60.7109375" style="109" customWidth="1"/>
    <col min="259" max="259" width="19" style="109" customWidth="1"/>
    <col min="260" max="260" width="4.42578125" style="109" customWidth="1"/>
    <col min="261" max="285" width="6.42578125" style="109" customWidth="1"/>
    <col min="286" max="293" width="4.28515625" style="109" customWidth="1"/>
    <col min="294" max="294" width="3.28515625" style="109" customWidth="1"/>
    <col min="295" max="295" width="3.42578125" style="109" customWidth="1"/>
    <col min="296" max="296" width="2.85546875" style="109" customWidth="1"/>
    <col min="297" max="298" width="3.28515625" style="109" customWidth="1"/>
    <col min="299" max="305" width="11.42578125" style="109" customWidth="1"/>
    <col min="306" max="512" width="11.42578125" style="109"/>
    <col min="513" max="513" width="5.85546875" style="109" bestFit="1" customWidth="1"/>
    <col min="514" max="514" width="60.7109375" style="109" customWidth="1"/>
    <col min="515" max="515" width="19" style="109" customWidth="1"/>
    <col min="516" max="516" width="4.42578125" style="109" customWidth="1"/>
    <col min="517" max="541" width="6.42578125" style="109" customWidth="1"/>
    <col min="542" max="549" width="4.28515625" style="109" customWidth="1"/>
    <col min="550" max="550" width="3.28515625" style="109" customWidth="1"/>
    <col min="551" max="551" width="3.42578125" style="109" customWidth="1"/>
    <col min="552" max="552" width="2.85546875" style="109" customWidth="1"/>
    <col min="553" max="554" width="3.28515625" style="109" customWidth="1"/>
    <col min="555" max="561" width="11.42578125" style="109" customWidth="1"/>
    <col min="562" max="768" width="11.42578125" style="109"/>
    <col min="769" max="769" width="5.85546875" style="109" bestFit="1" customWidth="1"/>
    <col min="770" max="770" width="60.7109375" style="109" customWidth="1"/>
    <col min="771" max="771" width="19" style="109" customWidth="1"/>
    <col min="772" max="772" width="4.42578125" style="109" customWidth="1"/>
    <col min="773" max="797" width="6.42578125" style="109" customWidth="1"/>
    <col min="798" max="805" width="4.28515625" style="109" customWidth="1"/>
    <col min="806" max="806" width="3.28515625" style="109" customWidth="1"/>
    <col min="807" max="807" width="3.42578125" style="109" customWidth="1"/>
    <col min="808" max="808" width="2.85546875" style="109" customWidth="1"/>
    <col min="809" max="810" width="3.28515625" style="109" customWidth="1"/>
    <col min="811" max="817" width="11.42578125" style="109" customWidth="1"/>
    <col min="818" max="1024" width="11.42578125" style="109"/>
    <col min="1025" max="1025" width="5.85546875" style="109" bestFit="1" customWidth="1"/>
    <col min="1026" max="1026" width="60.7109375" style="109" customWidth="1"/>
    <col min="1027" max="1027" width="19" style="109" customWidth="1"/>
    <col min="1028" max="1028" width="4.42578125" style="109" customWidth="1"/>
    <col min="1029" max="1053" width="6.42578125" style="109" customWidth="1"/>
    <col min="1054" max="1061" width="4.28515625" style="109" customWidth="1"/>
    <col min="1062" max="1062" width="3.28515625" style="109" customWidth="1"/>
    <col min="1063" max="1063" width="3.42578125" style="109" customWidth="1"/>
    <col min="1064" max="1064" width="2.85546875" style="109" customWidth="1"/>
    <col min="1065" max="1066" width="3.28515625" style="109" customWidth="1"/>
    <col min="1067" max="1073" width="11.42578125" style="109" customWidth="1"/>
    <col min="1074" max="1280" width="11.42578125" style="109"/>
    <col min="1281" max="1281" width="5.85546875" style="109" bestFit="1" customWidth="1"/>
    <col min="1282" max="1282" width="60.7109375" style="109" customWidth="1"/>
    <col min="1283" max="1283" width="19" style="109" customWidth="1"/>
    <col min="1284" max="1284" width="4.42578125" style="109" customWidth="1"/>
    <col min="1285" max="1309" width="6.42578125" style="109" customWidth="1"/>
    <col min="1310" max="1317" width="4.28515625" style="109" customWidth="1"/>
    <col min="1318" max="1318" width="3.28515625" style="109" customWidth="1"/>
    <col min="1319" max="1319" width="3.42578125" style="109" customWidth="1"/>
    <col min="1320" max="1320" width="2.85546875" style="109" customWidth="1"/>
    <col min="1321" max="1322" width="3.28515625" style="109" customWidth="1"/>
    <col min="1323" max="1329" width="11.42578125" style="109" customWidth="1"/>
    <col min="1330" max="1536" width="11.42578125" style="109"/>
    <col min="1537" max="1537" width="5.85546875" style="109" bestFit="1" customWidth="1"/>
    <col min="1538" max="1538" width="60.7109375" style="109" customWidth="1"/>
    <col min="1539" max="1539" width="19" style="109" customWidth="1"/>
    <col min="1540" max="1540" width="4.42578125" style="109" customWidth="1"/>
    <col min="1541" max="1565" width="6.42578125" style="109" customWidth="1"/>
    <col min="1566" max="1573" width="4.28515625" style="109" customWidth="1"/>
    <col min="1574" max="1574" width="3.28515625" style="109" customWidth="1"/>
    <col min="1575" max="1575" width="3.42578125" style="109" customWidth="1"/>
    <col min="1576" max="1576" width="2.85546875" style="109" customWidth="1"/>
    <col min="1577" max="1578" width="3.28515625" style="109" customWidth="1"/>
    <col min="1579" max="1585" width="11.42578125" style="109" customWidth="1"/>
    <col min="1586" max="1792" width="11.42578125" style="109"/>
    <col min="1793" max="1793" width="5.85546875" style="109" bestFit="1" customWidth="1"/>
    <col min="1794" max="1794" width="60.7109375" style="109" customWidth="1"/>
    <col min="1795" max="1795" width="19" style="109" customWidth="1"/>
    <col min="1796" max="1796" width="4.42578125" style="109" customWidth="1"/>
    <col min="1797" max="1821" width="6.42578125" style="109" customWidth="1"/>
    <col min="1822" max="1829" width="4.28515625" style="109" customWidth="1"/>
    <col min="1830" max="1830" width="3.28515625" style="109" customWidth="1"/>
    <col min="1831" max="1831" width="3.42578125" style="109" customWidth="1"/>
    <col min="1832" max="1832" width="2.85546875" style="109" customWidth="1"/>
    <col min="1833" max="1834" width="3.28515625" style="109" customWidth="1"/>
    <col min="1835" max="1841" width="11.42578125" style="109" customWidth="1"/>
    <col min="1842" max="2048" width="11.42578125" style="109"/>
    <col min="2049" max="2049" width="5.85546875" style="109" bestFit="1" customWidth="1"/>
    <col min="2050" max="2050" width="60.7109375" style="109" customWidth="1"/>
    <col min="2051" max="2051" width="19" style="109" customWidth="1"/>
    <col min="2052" max="2052" width="4.42578125" style="109" customWidth="1"/>
    <col min="2053" max="2077" width="6.42578125" style="109" customWidth="1"/>
    <col min="2078" max="2085" width="4.28515625" style="109" customWidth="1"/>
    <col min="2086" max="2086" width="3.28515625" style="109" customWidth="1"/>
    <col min="2087" max="2087" width="3.42578125" style="109" customWidth="1"/>
    <col min="2088" max="2088" width="2.85546875" style="109" customWidth="1"/>
    <col min="2089" max="2090" width="3.28515625" style="109" customWidth="1"/>
    <col min="2091" max="2097" width="11.42578125" style="109" customWidth="1"/>
    <col min="2098" max="2304" width="11.42578125" style="109"/>
    <col min="2305" max="2305" width="5.85546875" style="109" bestFit="1" customWidth="1"/>
    <col min="2306" max="2306" width="60.7109375" style="109" customWidth="1"/>
    <col min="2307" max="2307" width="19" style="109" customWidth="1"/>
    <col min="2308" max="2308" width="4.42578125" style="109" customWidth="1"/>
    <col min="2309" max="2333" width="6.42578125" style="109" customWidth="1"/>
    <col min="2334" max="2341" width="4.28515625" style="109" customWidth="1"/>
    <col min="2342" max="2342" width="3.28515625" style="109" customWidth="1"/>
    <col min="2343" max="2343" width="3.42578125" style="109" customWidth="1"/>
    <col min="2344" max="2344" width="2.85546875" style="109" customWidth="1"/>
    <col min="2345" max="2346" width="3.28515625" style="109" customWidth="1"/>
    <col min="2347" max="2353" width="11.42578125" style="109" customWidth="1"/>
    <col min="2354" max="2560" width="11.42578125" style="109"/>
    <col min="2561" max="2561" width="5.85546875" style="109" bestFit="1" customWidth="1"/>
    <col min="2562" max="2562" width="60.7109375" style="109" customWidth="1"/>
    <col min="2563" max="2563" width="19" style="109" customWidth="1"/>
    <col min="2564" max="2564" width="4.42578125" style="109" customWidth="1"/>
    <col min="2565" max="2589" width="6.42578125" style="109" customWidth="1"/>
    <col min="2590" max="2597" width="4.28515625" style="109" customWidth="1"/>
    <col min="2598" max="2598" width="3.28515625" style="109" customWidth="1"/>
    <col min="2599" max="2599" width="3.42578125" style="109" customWidth="1"/>
    <col min="2600" max="2600" width="2.85546875" style="109" customWidth="1"/>
    <col min="2601" max="2602" width="3.28515625" style="109" customWidth="1"/>
    <col min="2603" max="2609" width="11.42578125" style="109" customWidth="1"/>
    <col min="2610" max="2816" width="11.42578125" style="109"/>
    <col min="2817" max="2817" width="5.85546875" style="109" bestFit="1" customWidth="1"/>
    <col min="2818" max="2818" width="60.7109375" style="109" customWidth="1"/>
    <col min="2819" max="2819" width="19" style="109" customWidth="1"/>
    <col min="2820" max="2820" width="4.42578125" style="109" customWidth="1"/>
    <col min="2821" max="2845" width="6.42578125" style="109" customWidth="1"/>
    <col min="2846" max="2853" width="4.28515625" style="109" customWidth="1"/>
    <col min="2854" max="2854" width="3.28515625" style="109" customWidth="1"/>
    <col min="2855" max="2855" width="3.42578125" style="109" customWidth="1"/>
    <col min="2856" max="2856" width="2.85546875" style="109" customWidth="1"/>
    <col min="2857" max="2858" width="3.28515625" style="109" customWidth="1"/>
    <col min="2859" max="2865" width="11.42578125" style="109" customWidth="1"/>
    <col min="2866" max="3072" width="11.42578125" style="109"/>
    <col min="3073" max="3073" width="5.85546875" style="109" bestFit="1" customWidth="1"/>
    <col min="3074" max="3074" width="60.7109375" style="109" customWidth="1"/>
    <col min="3075" max="3075" width="19" style="109" customWidth="1"/>
    <col min="3076" max="3076" width="4.42578125" style="109" customWidth="1"/>
    <col min="3077" max="3101" width="6.42578125" style="109" customWidth="1"/>
    <col min="3102" max="3109" width="4.28515625" style="109" customWidth="1"/>
    <col min="3110" max="3110" width="3.28515625" style="109" customWidth="1"/>
    <col min="3111" max="3111" width="3.42578125" style="109" customWidth="1"/>
    <col min="3112" max="3112" width="2.85546875" style="109" customWidth="1"/>
    <col min="3113" max="3114" width="3.28515625" style="109" customWidth="1"/>
    <col min="3115" max="3121" width="11.42578125" style="109" customWidth="1"/>
    <col min="3122" max="3328" width="11.42578125" style="109"/>
    <col min="3329" max="3329" width="5.85546875" style="109" bestFit="1" customWidth="1"/>
    <col min="3330" max="3330" width="60.7109375" style="109" customWidth="1"/>
    <col min="3331" max="3331" width="19" style="109" customWidth="1"/>
    <col min="3332" max="3332" width="4.42578125" style="109" customWidth="1"/>
    <col min="3333" max="3357" width="6.42578125" style="109" customWidth="1"/>
    <col min="3358" max="3365" width="4.28515625" style="109" customWidth="1"/>
    <col min="3366" max="3366" width="3.28515625" style="109" customWidth="1"/>
    <col min="3367" max="3367" width="3.42578125" style="109" customWidth="1"/>
    <col min="3368" max="3368" width="2.85546875" style="109" customWidth="1"/>
    <col min="3369" max="3370" width="3.28515625" style="109" customWidth="1"/>
    <col min="3371" max="3377" width="11.42578125" style="109" customWidth="1"/>
    <col min="3378" max="3584" width="11.42578125" style="109"/>
    <col min="3585" max="3585" width="5.85546875" style="109" bestFit="1" customWidth="1"/>
    <col min="3586" max="3586" width="60.7109375" style="109" customWidth="1"/>
    <col min="3587" max="3587" width="19" style="109" customWidth="1"/>
    <col min="3588" max="3588" width="4.42578125" style="109" customWidth="1"/>
    <col min="3589" max="3613" width="6.42578125" style="109" customWidth="1"/>
    <col min="3614" max="3621" width="4.28515625" style="109" customWidth="1"/>
    <col min="3622" max="3622" width="3.28515625" style="109" customWidth="1"/>
    <col min="3623" max="3623" width="3.42578125" style="109" customWidth="1"/>
    <col min="3624" max="3624" width="2.85546875" style="109" customWidth="1"/>
    <col min="3625" max="3626" width="3.28515625" style="109" customWidth="1"/>
    <col min="3627" max="3633" width="11.42578125" style="109" customWidth="1"/>
    <col min="3634" max="3840" width="11.42578125" style="109"/>
    <col min="3841" max="3841" width="5.85546875" style="109" bestFit="1" customWidth="1"/>
    <col min="3842" max="3842" width="60.7109375" style="109" customWidth="1"/>
    <col min="3843" max="3843" width="19" style="109" customWidth="1"/>
    <col min="3844" max="3844" width="4.42578125" style="109" customWidth="1"/>
    <col min="3845" max="3869" width="6.42578125" style="109" customWidth="1"/>
    <col min="3870" max="3877" width="4.28515625" style="109" customWidth="1"/>
    <col min="3878" max="3878" width="3.28515625" style="109" customWidth="1"/>
    <col min="3879" max="3879" width="3.42578125" style="109" customWidth="1"/>
    <col min="3880" max="3880" width="2.85546875" style="109" customWidth="1"/>
    <col min="3881" max="3882" width="3.28515625" style="109" customWidth="1"/>
    <col min="3883" max="3889" width="11.42578125" style="109" customWidth="1"/>
    <col min="3890" max="4096" width="11.42578125" style="109"/>
    <col min="4097" max="4097" width="5.85546875" style="109" bestFit="1" customWidth="1"/>
    <col min="4098" max="4098" width="60.7109375" style="109" customWidth="1"/>
    <col min="4099" max="4099" width="19" style="109" customWidth="1"/>
    <col min="4100" max="4100" width="4.42578125" style="109" customWidth="1"/>
    <col min="4101" max="4125" width="6.42578125" style="109" customWidth="1"/>
    <col min="4126" max="4133" width="4.28515625" style="109" customWidth="1"/>
    <col min="4134" max="4134" width="3.28515625" style="109" customWidth="1"/>
    <col min="4135" max="4135" width="3.42578125" style="109" customWidth="1"/>
    <col min="4136" max="4136" width="2.85546875" style="109" customWidth="1"/>
    <col min="4137" max="4138" width="3.28515625" style="109" customWidth="1"/>
    <col min="4139" max="4145" width="11.42578125" style="109" customWidth="1"/>
    <col min="4146" max="4352" width="11.42578125" style="109"/>
    <col min="4353" max="4353" width="5.85546875" style="109" bestFit="1" customWidth="1"/>
    <col min="4354" max="4354" width="60.7109375" style="109" customWidth="1"/>
    <col min="4355" max="4355" width="19" style="109" customWidth="1"/>
    <col min="4356" max="4356" width="4.42578125" style="109" customWidth="1"/>
    <col min="4357" max="4381" width="6.42578125" style="109" customWidth="1"/>
    <col min="4382" max="4389" width="4.28515625" style="109" customWidth="1"/>
    <col min="4390" max="4390" width="3.28515625" style="109" customWidth="1"/>
    <col min="4391" max="4391" width="3.42578125" style="109" customWidth="1"/>
    <col min="4392" max="4392" width="2.85546875" style="109" customWidth="1"/>
    <col min="4393" max="4394" width="3.28515625" style="109" customWidth="1"/>
    <col min="4395" max="4401" width="11.42578125" style="109" customWidth="1"/>
    <col min="4402" max="4608" width="11.42578125" style="109"/>
    <col min="4609" max="4609" width="5.85546875" style="109" bestFit="1" customWidth="1"/>
    <col min="4610" max="4610" width="60.7109375" style="109" customWidth="1"/>
    <col min="4611" max="4611" width="19" style="109" customWidth="1"/>
    <col min="4612" max="4612" width="4.42578125" style="109" customWidth="1"/>
    <col min="4613" max="4637" width="6.42578125" style="109" customWidth="1"/>
    <col min="4638" max="4645" width="4.28515625" style="109" customWidth="1"/>
    <col min="4646" max="4646" width="3.28515625" style="109" customWidth="1"/>
    <col min="4647" max="4647" width="3.42578125" style="109" customWidth="1"/>
    <col min="4648" max="4648" width="2.85546875" style="109" customWidth="1"/>
    <col min="4649" max="4650" width="3.28515625" style="109" customWidth="1"/>
    <col min="4651" max="4657" width="11.42578125" style="109" customWidth="1"/>
    <col min="4658" max="4864" width="11.42578125" style="109"/>
    <col min="4865" max="4865" width="5.85546875" style="109" bestFit="1" customWidth="1"/>
    <col min="4866" max="4866" width="60.7109375" style="109" customWidth="1"/>
    <col min="4867" max="4867" width="19" style="109" customWidth="1"/>
    <col min="4868" max="4868" width="4.42578125" style="109" customWidth="1"/>
    <col min="4869" max="4893" width="6.42578125" style="109" customWidth="1"/>
    <col min="4894" max="4901" width="4.28515625" style="109" customWidth="1"/>
    <col min="4902" max="4902" width="3.28515625" style="109" customWidth="1"/>
    <col min="4903" max="4903" width="3.42578125" style="109" customWidth="1"/>
    <col min="4904" max="4904" width="2.85546875" style="109" customWidth="1"/>
    <col min="4905" max="4906" width="3.28515625" style="109" customWidth="1"/>
    <col min="4907" max="4913" width="11.42578125" style="109" customWidth="1"/>
    <col min="4914" max="5120" width="11.42578125" style="109"/>
    <col min="5121" max="5121" width="5.85546875" style="109" bestFit="1" customWidth="1"/>
    <col min="5122" max="5122" width="60.7109375" style="109" customWidth="1"/>
    <col min="5123" max="5123" width="19" style="109" customWidth="1"/>
    <col min="5124" max="5124" width="4.42578125" style="109" customWidth="1"/>
    <col min="5125" max="5149" width="6.42578125" style="109" customWidth="1"/>
    <col min="5150" max="5157" width="4.28515625" style="109" customWidth="1"/>
    <col min="5158" max="5158" width="3.28515625" style="109" customWidth="1"/>
    <col min="5159" max="5159" width="3.42578125" style="109" customWidth="1"/>
    <col min="5160" max="5160" width="2.85546875" style="109" customWidth="1"/>
    <col min="5161" max="5162" width="3.28515625" style="109" customWidth="1"/>
    <col min="5163" max="5169" width="11.42578125" style="109" customWidth="1"/>
    <col min="5170" max="5376" width="11.42578125" style="109"/>
    <col min="5377" max="5377" width="5.85546875" style="109" bestFit="1" customWidth="1"/>
    <col min="5378" max="5378" width="60.7109375" style="109" customWidth="1"/>
    <col min="5379" max="5379" width="19" style="109" customWidth="1"/>
    <col min="5380" max="5380" width="4.42578125" style="109" customWidth="1"/>
    <col min="5381" max="5405" width="6.42578125" style="109" customWidth="1"/>
    <col min="5406" max="5413" width="4.28515625" style="109" customWidth="1"/>
    <col min="5414" max="5414" width="3.28515625" style="109" customWidth="1"/>
    <col min="5415" max="5415" width="3.42578125" style="109" customWidth="1"/>
    <col min="5416" max="5416" width="2.85546875" style="109" customWidth="1"/>
    <col min="5417" max="5418" width="3.28515625" style="109" customWidth="1"/>
    <col min="5419" max="5425" width="11.42578125" style="109" customWidth="1"/>
    <col min="5426" max="5632" width="11.42578125" style="109"/>
    <col min="5633" max="5633" width="5.85546875" style="109" bestFit="1" customWidth="1"/>
    <col min="5634" max="5634" width="60.7109375" style="109" customWidth="1"/>
    <col min="5635" max="5635" width="19" style="109" customWidth="1"/>
    <col min="5636" max="5636" width="4.42578125" style="109" customWidth="1"/>
    <col min="5637" max="5661" width="6.42578125" style="109" customWidth="1"/>
    <col min="5662" max="5669" width="4.28515625" style="109" customWidth="1"/>
    <col min="5670" max="5670" width="3.28515625" style="109" customWidth="1"/>
    <col min="5671" max="5671" width="3.42578125" style="109" customWidth="1"/>
    <col min="5672" max="5672" width="2.85546875" style="109" customWidth="1"/>
    <col min="5673" max="5674" width="3.28515625" style="109" customWidth="1"/>
    <col min="5675" max="5681" width="11.42578125" style="109" customWidth="1"/>
    <col min="5682" max="5888" width="11.42578125" style="109"/>
    <col min="5889" max="5889" width="5.85546875" style="109" bestFit="1" customWidth="1"/>
    <col min="5890" max="5890" width="60.7109375" style="109" customWidth="1"/>
    <col min="5891" max="5891" width="19" style="109" customWidth="1"/>
    <col min="5892" max="5892" width="4.42578125" style="109" customWidth="1"/>
    <col min="5893" max="5917" width="6.42578125" style="109" customWidth="1"/>
    <col min="5918" max="5925" width="4.28515625" style="109" customWidth="1"/>
    <col min="5926" max="5926" width="3.28515625" style="109" customWidth="1"/>
    <col min="5927" max="5927" width="3.42578125" style="109" customWidth="1"/>
    <col min="5928" max="5928" width="2.85546875" style="109" customWidth="1"/>
    <col min="5929" max="5930" width="3.28515625" style="109" customWidth="1"/>
    <col min="5931" max="5937" width="11.42578125" style="109" customWidth="1"/>
    <col min="5938" max="6144" width="11.42578125" style="109"/>
    <col min="6145" max="6145" width="5.85546875" style="109" bestFit="1" customWidth="1"/>
    <col min="6146" max="6146" width="60.7109375" style="109" customWidth="1"/>
    <col min="6147" max="6147" width="19" style="109" customWidth="1"/>
    <col min="6148" max="6148" width="4.42578125" style="109" customWidth="1"/>
    <col min="6149" max="6173" width="6.42578125" style="109" customWidth="1"/>
    <col min="6174" max="6181" width="4.28515625" style="109" customWidth="1"/>
    <col min="6182" max="6182" width="3.28515625" style="109" customWidth="1"/>
    <col min="6183" max="6183" width="3.42578125" style="109" customWidth="1"/>
    <col min="6184" max="6184" width="2.85546875" style="109" customWidth="1"/>
    <col min="6185" max="6186" width="3.28515625" style="109" customWidth="1"/>
    <col min="6187" max="6193" width="11.42578125" style="109" customWidth="1"/>
    <col min="6194" max="6400" width="11.42578125" style="109"/>
    <col min="6401" max="6401" width="5.85546875" style="109" bestFit="1" customWidth="1"/>
    <col min="6402" max="6402" width="60.7109375" style="109" customWidth="1"/>
    <col min="6403" max="6403" width="19" style="109" customWidth="1"/>
    <col min="6404" max="6404" width="4.42578125" style="109" customWidth="1"/>
    <col min="6405" max="6429" width="6.42578125" style="109" customWidth="1"/>
    <col min="6430" max="6437" width="4.28515625" style="109" customWidth="1"/>
    <col min="6438" max="6438" width="3.28515625" style="109" customWidth="1"/>
    <col min="6439" max="6439" width="3.42578125" style="109" customWidth="1"/>
    <col min="6440" max="6440" width="2.85546875" style="109" customWidth="1"/>
    <col min="6441" max="6442" width="3.28515625" style="109" customWidth="1"/>
    <col min="6443" max="6449" width="11.42578125" style="109" customWidth="1"/>
    <col min="6450" max="6656" width="11.42578125" style="109"/>
    <col min="6657" max="6657" width="5.85546875" style="109" bestFit="1" customWidth="1"/>
    <col min="6658" max="6658" width="60.7109375" style="109" customWidth="1"/>
    <col min="6659" max="6659" width="19" style="109" customWidth="1"/>
    <col min="6660" max="6660" width="4.42578125" style="109" customWidth="1"/>
    <col min="6661" max="6685" width="6.42578125" style="109" customWidth="1"/>
    <col min="6686" max="6693" width="4.28515625" style="109" customWidth="1"/>
    <col min="6694" max="6694" width="3.28515625" style="109" customWidth="1"/>
    <col min="6695" max="6695" width="3.42578125" style="109" customWidth="1"/>
    <col min="6696" max="6696" width="2.85546875" style="109" customWidth="1"/>
    <col min="6697" max="6698" width="3.28515625" style="109" customWidth="1"/>
    <col min="6699" max="6705" width="11.42578125" style="109" customWidth="1"/>
    <col min="6706" max="6912" width="11.42578125" style="109"/>
    <col min="6913" max="6913" width="5.85546875" style="109" bestFit="1" customWidth="1"/>
    <col min="6914" max="6914" width="60.7109375" style="109" customWidth="1"/>
    <col min="6915" max="6915" width="19" style="109" customWidth="1"/>
    <col min="6916" max="6916" width="4.42578125" style="109" customWidth="1"/>
    <col min="6917" max="6941" width="6.42578125" style="109" customWidth="1"/>
    <col min="6942" max="6949" width="4.28515625" style="109" customWidth="1"/>
    <col min="6950" max="6950" width="3.28515625" style="109" customWidth="1"/>
    <col min="6951" max="6951" width="3.42578125" style="109" customWidth="1"/>
    <col min="6952" max="6952" width="2.85546875" style="109" customWidth="1"/>
    <col min="6953" max="6954" width="3.28515625" style="109" customWidth="1"/>
    <col min="6955" max="6961" width="11.42578125" style="109" customWidth="1"/>
    <col min="6962" max="7168" width="11.42578125" style="109"/>
    <col min="7169" max="7169" width="5.85546875" style="109" bestFit="1" customWidth="1"/>
    <col min="7170" max="7170" width="60.7109375" style="109" customWidth="1"/>
    <col min="7171" max="7171" width="19" style="109" customWidth="1"/>
    <col min="7172" max="7172" width="4.42578125" style="109" customWidth="1"/>
    <col min="7173" max="7197" width="6.42578125" style="109" customWidth="1"/>
    <col min="7198" max="7205" width="4.28515625" style="109" customWidth="1"/>
    <col min="7206" max="7206" width="3.28515625" style="109" customWidth="1"/>
    <col min="7207" max="7207" width="3.42578125" style="109" customWidth="1"/>
    <col min="7208" max="7208" width="2.85546875" style="109" customWidth="1"/>
    <col min="7209" max="7210" width="3.28515625" style="109" customWidth="1"/>
    <col min="7211" max="7217" width="11.42578125" style="109" customWidth="1"/>
    <col min="7218" max="7424" width="11.42578125" style="109"/>
    <col min="7425" max="7425" width="5.85546875" style="109" bestFit="1" customWidth="1"/>
    <col min="7426" max="7426" width="60.7109375" style="109" customWidth="1"/>
    <col min="7427" max="7427" width="19" style="109" customWidth="1"/>
    <col min="7428" max="7428" width="4.42578125" style="109" customWidth="1"/>
    <col min="7429" max="7453" width="6.42578125" style="109" customWidth="1"/>
    <col min="7454" max="7461" width="4.28515625" style="109" customWidth="1"/>
    <col min="7462" max="7462" width="3.28515625" style="109" customWidth="1"/>
    <col min="7463" max="7463" width="3.42578125" style="109" customWidth="1"/>
    <col min="7464" max="7464" width="2.85546875" style="109" customWidth="1"/>
    <col min="7465" max="7466" width="3.28515625" style="109" customWidth="1"/>
    <col min="7467" max="7473" width="11.42578125" style="109" customWidth="1"/>
    <col min="7474" max="7680" width="11.42578125" style="109"/>
    <col min="7681" max="7681" width="5.85546875" style="109" bestFit="1" customWidth="1"/>
    <col min="7682" max="7682" width="60.7109375" style="109" customWidth="1"/>
    <col min="7683" max="7683" width="19" style="109" customWidth="1"/>
    <col min="7684" max="7684" width="4.42578125" style="109" customWidth="1"/>
    <col min="7685" max="7709" width="6.42578125" style="109" customWidth="1"/>
    <col min="7710" max="7717" width="4.28515625" style="109" customWidth="1"/>
    <col min="7718" max="7718" width="3.28515625" style="109" customWidth="1"/>
    <col min="7719" max="7719" width="3.42578125" style="109" customWidth="1"/>
    <col min="7720" max="7720" width="2.85546875" style="109" customWidth="1"/>
    <col min="7721" max="7722" width="3.28515625" style="109" customWidth="1"/>
    <col min="7723" max="7729" width="11.42578125" style="109" customWidth="1"/>
    <col min="7730" max="7936" width="11.42578125" style="109"/>
    <col min="7937" max="7937" width="5.85546875" style="109" bestFit="1" customWidth="1"/>
    <col min="7938" max="7938" width="60.7109375" style="109" customWidth="1"/>
    <col min="7939" max="7939" width="19" style="109" customWidth="1"/>
    <col min="7940" max="7940" width="4.42578125" style="109" customWidth="1"/>
    <col min="7941" max="7965" width="6.42578125" style="109" customWidth="1"/>
    <col min="7966" max="7973" width="4.28515625" style="109" customWidth="1"/>
    <col min="7974" max="7974" width="3.28515625" style="109" customWidth="1"/>
    <col min="7975" max="7975" width="3.42578125" style="109" customWidth="1"/>
    <col min="7976" max="7976" width="2.85546875" style="109" customWidth="1"/>
    <col min="7977" max="7978" width="3.28515625" style="109" customWidth="1"/>
    <col min="7979" max="7985" width="11.42578125" style="109" customWidth="1"/>
    <col min="7986" max="8192" width="11.42578125" style="109"/>
    <col min="8193" max="8193" width="5.85546875" style="109" bestFit="1" customWidth="1"/>
    <col min="8194" max="8194" width="60.7109375" style="109" customWidth="1"/>
    <col min="8195" max="8195" width="19" style="109" customWidth="1"/>
    <col min="8196" max="8196" width="4.42578125" style="109" customWidth="1"/>
    <col min="8197" max="8221" width="6.42578125" style="109" customWidth="1"/>
    <col min="8222" max="8229" width="4.28515625" style="109" customWidth="1"/>
    <col min="8230" max="8230" width="3.28515625" style="109" customWidth="1"/>
    <col min="8231" max="8231" width="3.42578125" style="109" customWidth="1"/>
    <col min="8232" max="8232" width="2.85546875" style="109" customWidth="1"/>
    <col min="8233" max="8234" width="3.28515625" style="109" customWidth="1"/>
    <col min="8235" max="8241" width="11.42578125" style="109" customWidth="1"/>
    <col min="8242" max="8448" width="11.42578125" style="109"/>
    <col min="8449" max="8449" width="5.85546875" style="109" bestFit="1" customWidth="1"/>
    <col min="8450" max="8450" width="60.7109375" style="109" customWidth="1"/>
    <col min="8451" max="8451" width="19" style="109" customWidth="1"/>
    <col min="8452" max="8452" width="4.42578125" style="109" customWidth="1"/>
    <col min="8453" max="8477" width="6.42578125" style="109" customWidth="1"/>
    <col min="8478" max="8485" width="4.28515625" style="109" customWidth="1"/>
    <col min="8486" max="8486" width="3.28515625" style="109" customWidth="1"/>
    <col min="8487" max="8487" width="3.42578125" style="109" customWidth="1"/>
    <col min="8488" max="8488" width="2.85546875" style="109" customWidth="1"/>
    <col min="8489" max="8490" width="3.28515625" style="109" customWidth="1"/>
    <col min="8491" max="8497" width="11.42578125" style="109" customWidth="1"/>
    <col min="8498" max="8704" width="11.42578125" style="109"/>
    <col min="8705" max="8705" width="5.85546875" style="109" bestFit="1" customWidth="1"/>
    <col min="8706" max="8706" width="60.7109375" style="109" customWidth="1"/>
    <col min="8707" max="8707" width="19" style="109" customWidth="1"/>
    <col min="8708" max="8708" width="4.42578125" style="109" customWidth="1"/>
    <col min="8709" max="8733" width="6.42578125" style="109" customWidth="1"/>
    <col min="8734" max="8741" width="4.28515625" style="109" customWidth="1"/>
    <col min="8742" max="8742" width="3.28515625" style="109" customWidth="1"/>
    <col min="8743" max="8743" width="3.42578125" style="109" customWidth="1"/>
    <col min="8744" max="8744" width="2.85546875" style="109" customWidth="1"/>
    <col min="8745" max="8746" width="3.28515625" style="109" customWidth="1"/>
    <col min="8747" max="8753" width="11.42578125" style="109" customWidth="1"/>
    <col min="8754" max="8960" width="11.42578125" style="109"/>
    <col min="8961" max="8961" width="5.85546875" style="109" bestFit="1" customWidth="1"/>
    <col min="8962" max="8962" width="60.7109375" style="109" customWidth="1"/>
    <col min="8963" max="8963" width="19" style="109" customWidth="1"/>
    <col min="8964" max="8964" width="4.42578125" style="109" customWidth="1"/>
    <col min="8965" max="8989" width="6.42578125" style="109" customWidth="1"/>
    <col min="8990" max="8997" width="4.28515625" style="109" customWidth="1"/>
    <col min="8998" max="8998" width="3.28515625" style="109" customWidth="1"/>
    <col min="8999" max="8999" width="3.42578125" style="109" customWidth="1"/>
    <col min="9000" max="9000" width="2.85546875" style="109" customWidth="1"/>
    <col min="9001" max="9002" width="3.28515625" style="109" customWidth="1"/>
    <col min="9003" max="9009" width="11.42578125" style="109" customWidth="1"/>
    <col min="9010" max="9216" width="11.42578125" style="109"/>
    <col min="9217" max="9217" width="5.85546875" style="109" bestFit="1" customWidth="1"/>
    <col min="9218" max="9218" width="60.7109375" style="109" customWidth="1"/>
    <col min="9219" max="9219" width="19" style="109" customWidth="1"/>
    <col min="9220" max="9220" width="4.42578125" style="109" customWidth="1"/>
    <col min="9221" max="9245" width="6.42578125" style="109" customWidth="1"/>
    <col min="9246" max="9253" width="4.28515625" style="109" customWidth="1"/>
    <col min="9254" max="9254" width="3.28515625" style="109" customWidth="1"/>
    <col min="9255" max="9255" width="3.42578125" style="109" customWidth="1"/>
    <col min="9256" max="9256" width="2.85546875" style="109" customWidth="1"/>
    <col min="9257" max="9258" width="3.28515625" style="109" customWidth="1"/>
    <col min="9259" max="9265" width="11.42578125" style="109" customWidth="1"/>
    <col min="9266" max="9472" width="11.42578125" style="109"/>
    <col min="9473" max="9473" width="5.85546875" style="109" bestFit="1" customWidth="1"/>
    <col min="9474" max="9474" width="60.7109375" style="109" customWidth="1"/>
    <col min="9475" max="9475" width="19" style="109" customWidth="1"/>
    <col min="9476" max="9476" width="4.42578125" style="109" customWidth="1"/>
    <col min="9477" max="9501" width="6.42578125" style="109" customWidth="1"/>
    <col min="9502" max="9509" width="4.28515625" style="109" customWidth="1"/>
    <col min="9510" max="9510" width="3.28515625" style="109" customWidth="1"/>
    <col min="9511" max="9511" width="3.42578125" style="109" customWidth="1"/>
    <col min="9512" max="9512" width="2.85546875" style="109" customWidth="1"/>
    <col min="9513" max="9514" width="3.28515625" style="109" customWidth="1"/>
    <col min="9515" max="9521" width="11.42578125" style="109" customWidth="1"/>
    <col min="9522" max="9728" width="11.42578125" style="109"/>
    <col min="9729" max="9729" width="5.85546875" style="109" bestFit="1" customWidth="1"/>
    <col min="9730" max="9730" width="60.7109375" style="109" customWidth="1"/>
    <col min="9731" max="9731" width="19" style="109" customWidth="1"/>
    <col min="9732" max="9732" width="4.42578125" style="109" customWidth="1"/>
    <col min="9733" max="9757" width="6.42578125" style="109" customWidth="1"/>
    <col min="9758" max="9765" width="4.28515625" style="109" customWidth="1"/>
    <col min="9766" max="9766" width="3.28515625" style="109" customWidth="1"/>
    <col min="9767" max="9767" width="3.42578125" style="109" customWidth="1"/>
    <col min="9768" max="9768" width="2.85546875" style="109" customWidth="1"/>
    <col min="9769" max="9770" width="3.28515625" style="109" customWidth="1"/>
    <col min="9771" max="9777" width="11.42578125" style="109" customWidth="1"/>
    <col min="9778" max="9984" width="11.42578125" style="109"/>
    <col min="9985" max="9985" width="5.85546875" style="109" bestFit="1" customWidth="1"/>
    <col min="9986" max="9986" width="60.7109375" style="109" customWidth="1"/>
    <col min="9987" max="9987" width="19" style="109" customWidth="1"/>
    <col min="9988" max="9988" width="4.42578125" style="109" customWidth="1"/>
    <col min="9989" max="10013" width="6.42578125" style="109" customWidth="1"/>
    <col min="10014" max="10021" width="4.28515625" style="109" customWidth="1"/>
    <col min="10022" max="10022" width="3.28515625" style="109" customWidth="1"/>
    <col min="10023" max="10023" width="3.42578125" style="109" customWidth="1"/>
    <col min="10024" max="10024" width="2.85546875" style="109" customWidth="1"/>
    <col min="10025" max="10026" width="3.28515625" style="109" customWidth="1"/>
    <col min="10027" max="10033" width="11.42578125" style="109" customWidth="1"/>
    <col min="10034" max="10240" width="11.42578125" style="109"/>
    <col min="10241" max="10241" width="5.85546875" style="109" bestFit="1" customWidth="1"/>
    <col min="10242" max="10242" width="60.7109375" style="109" customWidth="1"/>
    <col min="10243" max="10243" width="19" style="109" customWidth="1"/>
    <col min="10244" max="10244" width="4.42578125" style="109" customWidth="1"/>
    <col min="10245" max="10269" width="6.42578125" style="109" customWidth="1"/>
    <col min="10270" max="10277" width="4.28515625" style="109" customWidth="1"/>
    <col min="10278" max="10278" width="3.28515625" style="109" customWidth="1"/>
    <col min="10279" max="10279" width="3.42578125" style="109" customWidth="1"/>
    <col min="10280" max="10280" width="2.85546875" style="109" customWidth="1"/>
    <col min="10281" max="10282" width="3.28515625" style="109" customWidth="1"/>
    <col min="10283" max="10289" width="11.42578125" style="109" customWidth="1"/>
    <col min="10290" max="10496" width="11.42578125" style="109"/>
    <col min="10497" max="10497" width="5.85546875" style="109" bestFit="1" customWidth="1"/>
    <col min="10498" max="10498" width="60.7109375" style="109" customWidth="1"/>
    <col min="10499" max="10499" width="19" style="109" customWidth="1"/>
    <col min="10500" max="10500" width="4.42578125" style="109" customWidth="1"/>
    <col min="10501" max="10525" width="6.42578125" style="109" customWidth="1"/>
    <col min="10526" max="10533" width="4.28515625" style="109" customWidth="1"/>
    <col min="10534" max="10534" width="3.28515625" style="109" customWidth="1"/>
    <col min="10535" max="10535" width="3.42578125" style="109" customWidth="1"/>
    <col min="10536" max="10536" width="2.85546875" style="109" customWidth="1"/>
    <col min="10537" max="10538" width="3.28515625" style="109" customWidth="1"/>
    <col min="10539" max="10545" width="11.42578125" style="109" customWidth="1"/>
    <col min="10546" max="10752" width="11.42578125" style="109"/>
    <col min="10753" max="10753" width="5.85546875" style="109" bestFit="1" customWidth="1"/>
    <col min="10754" max="10754" width="60.7109375" style="109" customWidth="1"/>
    <col min="10755" max="10755" width="19" style="109" customWidth="1"/>
    <col min="10756" max="10756" width="4.42578125" style="109" customWidth="1"/>
    <col min="10757" max="10781" width="6.42578125" style="109" customWidth="1"/>
    <col min="10782" max="10789" width="4.28515625" style="109" customWidth="1"/>
    <col min="10790" max="10790" width="3.28515625" style="109" customWidth="1"/>
    <col min="10791" max="10791" width="3.42578125" style="109" customWidth="1"/>
    <col min="10792" max="10792" width="2.85546875" style="109" customWidth="1"/>
    <col min="10793" max="10794" width="3.28515625" style="109" customWidth="1"/>
    <col min="10795" max="10801" width="11.42578125" style="109" customWidth="1"/>
    <col min="10802" max="11008" width="11.42578125" style="109"/>
    <col min="11009" max="11009" width="5.85546875" style="109" bestFit="1" customWidth="1"/>
    <col min="11010" max="11010" width="60.7109375" style="109" customWidth="1"/>
    <col min="11011" max="11011" width="19" style="109" customWidth="1"/>
    <col min="11012" max="11012" width="4.42578125" style="109" customWidth="1"/>
    <col min="11013" max="11037" width="6.42578125" style="109" customWidth="1"/>
    <col min="11038" max="11045" width="4.28515625" style="109" customWidth="1"/>
    <col min="11046" max="11046" width="3.28515625" style="109" customWidth="1"/>
    <col min="11047" max="11047" width="3.42578125" style="109" customWidth="1"/>
    <col min="11048" max="11048" width="2.85546875" style="109" customWidth="1"/>
    <col min="11049" max="11050" width="3.28515625" style="109" customWidth="1"/>
    <col min="11051" max="11057" width="11.42578125" style="109" customWidth="1"/>
    <col min="11058" max="11264" width="11.42578125" style="109"/>
    <col min="11265" max="11265" width="5.85546875" style="109" bestFit="1" customWidth="1"/>
    <col min="11266" max="11266" width="60.7109375" style="109" customWidth="1"/>
    <col min="11267" max="11267" width="19" style="109" customWidth="1"/>
    <col min="11268" max="11268" width="4.42578125" style="109" customWidth="1"/>
    <col min="11269" max="11293" width="6.42578125" style="109" customWidth="1"/>
    <col min="11294" max="11301" width="4.28515625" style="109" customWidth="1"/>
    <col min="11302" max="11302" width="3.28515625" style="109" customWidth="1"/>
    <col min="11303" max="11303" width="3.42578125" style="109" customWidth="1"/>
    <col min="11304" max="11304" width="2.85546875" style="109" customWidth="1"/>
    <col min="11305" max="11306" width="3.28515625" style="109" customWidth="1"/>
    <col min="11307" max="11313" width="11.42578125" style="109" customWidth="1"/>
    <col min="11314" max="11520" width="11.42578125" style="109"/>
    <col min="11521" max="11521" width="5.85546875" style="109" bestFit="1" customWidth="1"/>
    <col min="11522" max="11522" width="60.7109375" style="109" customWidth="1"/>
    <col min="11523" max="11523" width="19" style="109" customWidth="1"/>
    <col min="11524" max="11524" width="4.42578125" style="109" customWidth="1"/>
    <col min="11525" max="11549" width="6.42578125" style="109" customWidth="1"/>
    <col min="11550" max="11557" width="4.28515625" style="109" customWidth="1"/>
    <col min="11558" max="11558" width="3.28515625" style="109" customWidth="1"/>
    <col min="11559" max="11559" width="3.42578125" style="109" customWidth="1"/>
    <col min="11560" max="11560" width="2.85546875" style="109" customWidth="1"/>
    <col min="11561" max="11562" width="3.28515625" style="109" customWidth="1"/>
    <col min="11563" max="11569" width="11.42578125" style="109" customWidth="1"/>
    <col min="11570" max="11776" width="11.42578125" style="109"/>
    <col min="11777" max="11777" width="5.85546875" style="109" bestFit="1" customWidth="1"/>
    <col min="11778" max="11778" width="60.7109375" style="109" customWidth="1"/>
    <col min="11779" max="11779" width="19" style="109" customWidth="1"/>
    <col min="11780" max="11780" width="4.42578125" style="109" customWidth="1"/>
    <col min="11781" max="11805" width="6.42578125" style="109" customWidth="1"/>
    <col min="11806" max="11813" width="4.28515625" style="109" customWidth="1"/>
    <col min="11814" max="11814" width="3.28515625" style="109" customWidth="1"/>
    <col min="11815" max="11815" width="3.42578125" style="109" customWidth="1"/>
    <col min="11816" max="11816" width="2.85546875" style="109" customWidth="1"/>
    <col min="11817" max="11818" width="3.28515625" style="109" customWidth="1"/>
    <col min="11819" max="11825" width="11.42578125" style="109" customWidth="1"/>
    <col min="11826" max="12032" width="11.42578125" style="109"/>
    <col min="12033" max="12033" width="5.85546875" style="109" bestFit="1" customWidth="1"/>
    <col min="12034" max="12034" width="60.7109375" style="109" customWidth="1"/>
    <col min="12035" max="12035" width="19" style="109" customWidth="1"/>
    <col min="12036" max="12036" width="4.42578125" style="109" customWidth="1"/>
    <col min="12037" max="12061" width="6.42578125" style="109" customWidth="1"/>
    <col min="12062" max="12069" width="4.28515625" style="109" customWidth="1"/>
    <col min="12070" max="12070" width="3.28515625" style="109" customWidth="1"/>
    <col min="12071" max="12071" width="3.42578125" style="109" customWidth="1"/>
    <col min="12072" max="12072" width="2.85546875" style="109" customWidth="1"/>
    <col min="12073" max="12074" width="3.28515625" style="109" customWidth="1"/>
    <col min="12075" max="12081" width="11.42578125" style="109" customWidth="1"/>
    <col min="12082" max="12288" width="11.42578125" style="109"/>
    <col min="12289" max="12289" width="5.85546875" style="109" bestFit="1" customWidth="1"/>
    <col min="12290" max="12290" width="60.7109375" style="109" customWidth="1"/>
    <col min="12291" max="12291" width="19" style="109" customWidth="1"/>
    <col min="12292" max="12292" width="4.42578125" style="109" customWidth="1"/>
    <col min="12293" max="12317" width="6.42578125" style="109" customWidth="1"/>
    <col min="12318" max="12325" width="4.28515625" style="109" customWidth="1"/>
    <col min="12326" max="12326" width="3.28515625" style="109" customWidth="1"/>
    <col min="12327" max="12327" width="3.42578125" style="109" customWidth="1"/>
    <col min="12328" max="12328" width="2.85546875" style="109" customWidth="1"/>
    <col min="12329" max="12330" width="3.28515625" style="109" customWidth="1"/>
    <col min="12331" max="12337" width="11.42578125" style="109" customWidth="1"/>
    <col min="12338" max="12544" width="11.42578125" style="109"/>
    <col min="12545" max="12545" width="5.85546875" style="109" bestFit="1" customWidth="1"/>
    <col min="12546" max="12546" width="60.7109375" style="109" customWidth="1"/>
    <col min="12547" max="12547" width="19" style="109" customWidth="1"/>
    <col min="12548" max="12548" width="4.42578125" style="109" customWidth="1"/>
    <col min="12549" max="12573" width="6.42578125" style="109" customWidth="1"/>
    <col min="12574" max="12581" width="4.28515625" style="109" customWidth="1"/>
    <col min="12582" max="12582" width="3.28515625" style="109" customWidth="1"/>
    <col min="12583" max="12583" width="3.42578125" style="109" customWidth="1"/>
    <col min="12584" max="12584" width="2.85546875" style="109" customWidth="1"/>
    <col min="12585" max="12586" width="3.28515625" style="109" customWidth="1"/>
    <col min="12587" max="12593" width="11.42578125" style="109" customWidth="1"/>
    <col min="12594" max="12800" width="11.42578125" style="109"/>
    <col min="12801" max="12801" width="5.85546875" style="109" bestFit="1" customWidth="1"/>
    <col min="12802" max="12802" width="60.7109375" style="109" customWidth="1"/>
    <col min="12803" max="12803" width="19" style="109" customWidth="1"/>
    <col min="12804" max="12804" width="4.42578125" style="109" customWidth="1"/>
    <col min="12805" max="12829" width="6.42578125" style="109" customWidth="1"/>
    <col min="12830" max="12837" width="4.28515625" style="109" customWidth="1"/>
    <col min="12838" max="12838" width="3.28515625" style="109" customWidth="1"/>
    <col min="12839" max="12839" width="3.42578125" style="109" customWidth="1"/>
    <col min="12840" max="12840" width="2.85546875" style="109" customWidth="1"/>
    <col min="12841" max="12842" width="3.28515625" style="109" customWidth="1"/>
    <col min="12843" max="12849" width="11.42578125" style="109" customWidth="1"/>
    <col min="12850" max="13056" width="11.42578125" style="109"/>
    <col min="13057" max="13057" width="5.85546875" style="109" bestFit="1" customWidth="1"/>
    <col min="13058" max="13058" width="60.7109375" style="109" customWidth="1"/>
    <col min="13059" max="13059" width="19" style="109" customWidth="1"/>
    <col min="13060" max="13060" width="4.42578125" style="109" customWidth="1"/>
    <col min="13061" max="13085" width="6.42578125" style="109" customWidth="1"/>
    <col min="13086" max="13093" width="4.28515625" style="109" customWidth="1"/>
    <col min="13094" max="13094" width="3.28515625" style="109" customWidth="1"/>
    <col min="13095" max="13095" width="3.42578125" style="109" customWidth="1"/>
    <col min="13096" max="13096" width="2.85546875" style="109" customWidth="1"/>
    <col min="13097" max="13098" width="3.28515625" style="109" customWidth="1"/>
    <col min="13099" max="13105" width="11.42578125" style="109" customWidth="1"/>
    <col min="13106" max="13312" width="11.42578125" style="109"/>
    <col min="13313" max="13313" width="5.85546875" style="109" bestFit="1" customWidth="1"/>
    <col min="13314" max="13314" width="60.7109375" style="109" customWidth="1"/>
    <col min="13315" max="13315" width="19" style="109" customWidth="1"/>
    <col min="13316" max="13316" width="4.42578125" style="109" customWidth="1"/>
    <col min="13317" max="13341" width="6.42578125" style="109" customWidth="1"/>
    <col min="13342" max="13349" width="4.28515625" style="109" customWidth="1"/>
    <col min="13350" max="13350" width="3.28515625" style="109" customWidth="1"/>
    <col min="13351" max="13351" width="3.42578125" style="109" customWidth="1"/>
    <col min="13352" max="13352" width="2.85546875" style="109" customWidth="1"/>
    <col min="13353" max="13354" width="3.28515625" style="109" customWidth="1"/>
    <col min="13355" max="13361" width="11.42578125" style="109" customWidth="1"/>
    <col min="13362" max="13568" width="11.42578125" style="109"/>
    <col min="13569" max="13569" width="5.85546875" style="109" bestFit="1" customWidth="1"/>
    <col min="13570" max="13570" width="60.7109375" style="109" customWidth="1"/>
    <col min="13571" max="13571" width="19" style="109" customWidth="1"/>
    <col min="13572" max="13572" width="4.42578125" style="109" customWidth="1"/>
    <col min="13573" max="13597" width="6.42578125" style="109" customWidth="1"/>
    <col min="13598" max="13605" width="4.28515625" style="109" customWidth="1"/>
    <col min="13606" max="13606" width="3.28515625" style="109" customWidth="1"/>
    <col min="13607" max="13607" width="3.42578125" style="109" customWidth="1"/>
    <col min="13608" max="13608" width="2.85546875" style="109" customWidth="1"/>
    <col min="13609" max="13610" width="3.28515625" style="109" customWidth="1"/>
    <col min="13611" max="13617" width="11.42578125" style="109" customWidth="1"/>
    <col min="13618" max="13824" width="11.42578125" style="109"/>
    <col min="13825" max="13825" width="5.85546875" style="109" bestFit="1" customWidth="1"/>
    <col min="13826" max="13826" width="60.7109375" style="109" customWidth="1"/>
    <col min="13827" max="13827" width="19" style="109" customWidth="1"/>
    <col min="13828" max="13828" width="4.42578125" style="109" customWidth="1"/>
    <col min="13829" max="13853" width="6.42578125" style="109" customWidth="1"/>
    <col min="13854" max="13861" width="4.28515625" style="109" customWidth="1"/>
    <col min="13862" max="13862" width="3.28515625" style="109" customWidth="1"/>
    <col min="13863" max="13863" width="3.42578125" style="109" customWidth="1"/>
    <col min="13864" max="13864" width="2.85546875" style="109" customWidth="1"/>
    <col min="13865" max="13866" width="3.28515625" style="109" customWidth="1"/>
    <col min="13867" max="13873" width="11.42578125" style="109" customWidth="1"/>
    <col min="13874" max="14080" width="11.42578125" style="109"/>
    <col min="14081" max="14081" width="5.85546875" style="109" bestFit="1" customWidth="1"/>
    <col min="14082" max="14082" width="60.7109375" style="109" customWidth="1"/>
    <col min="14083" max="14083" width="19" style="109" customWidth="1"/>
    <col min="14084" max="14084" width="4.42578125" style="109" customWidth="1"/>
    <col min="14085" max="14109" width="6.42578125" style="109" customWidth="1"/>
    <col min="14110" max="14117" width="4.28515625" style="109" customWidth="1"/>
    <col min="14118" max="14118" width="3.28515625" style="109" customWidth="1"/>
    <col min="14119" max="14119" width="3.42578125" style="109" customWidth="1"/>
    <col min="14120" max="14120" width="2.85546875" style="109" customWidth="1"/>
    <col min="14121" max="14122" width="3.28515625" style="109" customWidth="1"/>
    <col min="14123" max="14129" width="11.42578125" style="109" customWidth="1"/>
    <col min="14130" max="14336" width="11.42578125" style="109"/>
    <col min="14337" max="14337" width="5.85546875" style="109" bestFit="1" customWidth="1"/>
    <col min="14338" max="14338" width="60.7109375" style="109" customWidth="1"/>
    <col min="14339" max="14339" width="19" style="109" customWidth="1"/>
    <col min="14340" max="14340" width="4.42578125" style="109" customWidth="1"/>
    <col min="14341" max="14365" width="6.42578125" style="109" customWidth="1"/>
    <col min="14366" max="14373" width="4.28515625" style="109" customWidth="1"/>
    <col min="14374" max="14374" width="3.28515625" style="109" customWidth="1"/>
    <col min="14375" max="14375" width="3.42578125" style="109" customWidth="1"/>
    <col min="14376" max="14376" width="2.85546875" style="109" customWidth="1"/>
    <col min="14377" max="14378" width="3.28515625" style="109" customWidth="1"/>
    <col min="14379" max="14385" width="11.42578125" style="109" customWidth="1"/>
    <col min="14386" max="14592" width="11.42578125" style="109"/>
    <col min="14593" max="14593" width="5.85546875" style="109" bestFit="1" customWidth="1"/>
    <col min="14594" max="14594" width="60.7109375" style="109" customWidth="1"/>
    <col min="14595" max="14595" width="19" style="109" customWidth="1"/>
    <col min="14596" max="14596" width="4.42578125" style="109" customWidth="1"/>
    <col min="14597" max="14621" width="6.42578125" style="109" customWidth="1"/>
    <col min="14622" max="14629" width="4.28515625" style="109" customWidth="1"/>
    <col min="14630" max="14630" width="3.28515625" style="109" customWidth="1"/>
    <col min="14631" max="14631" width="3.42578125" style="109" customWidth="1"/>
    <col min="14632" max="14632" width="2.85546875" style="109" customWidth="1"/>
    <col min="14633" max="14634" width="3.28515625" style="109" customWidth="1"/>
    <col min="14635" max="14641" width="11.42578125" style="109" customWidth="1"/>
    <col min="14642" max="14848" width="11.42578125" style="109"/>
    <col min="14849" max="14849" width="5.85546875" style="109" bestFit="1" customWidth="1"/>
    <col min="14850" max="14850" width="60.7109375" style="109" customWidth="1"/>
    <col min="14851" max="14851" width="19" style="109" customWidth="1"/>
    <col min="14852" max="14852" width="4.42578125" style="109" customWidth="1"/>
    <col min="14853" max="14877" width="6.42578125" style="109" customWidth="1"/>
    <col min="14878" max="14885" width="4.28515625" style="109" customWidth="1"/>
    <col min="14886" max="14886" width="3.28515625" style="109" customWidth="1"/>
    <col min="14887" max="14887" width="3.42578125" style="109" customWidth="1"/>
    <col min="14888" max="14888" width="2.85546875" style="109" customWidth="1"/>
    <col min="14889" max="14890" width="3.28515625" style="109" customWidth="1"/>
    <col min="14891" max="14897" width="11.42578125" style="109" customWidth="1"/>
    <col min="14898" max="15104" width="11.42578125" style="109"/>
    <col min="15105" max="15105" width="5.85546875" style="109" bestFit="1" customWidth="1"/>
    <col min="15106" max="15106" width="60.7109375" style="109" customWidth="1"/>
    <col min="15107" max="15107" width="19" style="109" customWidth="1"/>
    <col min="15108" max="15108" width="4.42578125" style="109" customWidth="1"/>
    <col min="15109" max="15133" width="6.42578125" style="109" customWidth="1"/>
    <col min="15134" max="15141" width="4.28515625" style="109" customWidth="1"/>
    <col min="15142" max="15142" width="3.28515625" style="109" customWidth="1"/>
    <col min="15143" max="15143" width="3.42578125" style="109" customWidth="1"/>
    <col min="15144" max="15144" width="2.85546875" style="109" customWidth="1"/>
    <col min="15145" max="15146" width="3.28515625" style="109" customWidth="1"/>
    <col min="15147" max="15153" width="11.42578125" style="109" customWidth="1"/>
    <col min="15154" max="15360" width="11.42578125" style="109"/>
    <col min="15361" max="15361" width="5.85546875" style="109" bestFit="1" customWidth="1"/>
    <col min="15362" max="15362" width="60.7109375" style="109" customWidth="1"/>
    <col min="15363" max="15363" width="19" style="109" customWidth="1"/>
    <col min="15364" max="15364" width="4.42578125" style="109" customWidth="1"/>
    <col min="15365" max="15389" width="6.42578125" style="109" customWidth="1"/>
    <col min="15390" max="15397" width="4.28515625" style="109" customWidth="1"/>
    <col min="15398" max="15398" width="3.28515625" style="109" customWidth="1"/>
    <col min="15399" max="15399" width="3.42578125" style="109" customWidth="1"/>
    <col min="15400" max="15400" width="2.85546875" style="109" customWidth="1"/>
    <col min="15401" max="15402" width="3.28515625" style="109" customWidth="1"/>
    <col min="15403" max="15409" width="11.42578125" style="109" customWidth="1"/>
    <col min="15410" max="15616" width="11.42578125" style="109"/>
    <col min="15617" max="15617" width="5.85546875" style="109" bestFit="1" customWidth="1"/>
    <col min="15618" max="15618" width="60.7109375" style="109" customWidth="1"/>
    <col min="15619" max="15619" width="19" style="109" customWidth="1"/>
    <col min="15620" max="15620" width="4.42578125" style="109" customWidth="1"/>
    <col min="15621" max="15645" width="6.42578125" style="109" customWidth="1"/>
    <col min="15646" max="15653" width="4.28515625" style="109" customWidth="1"/>
    <col min="15654" max="15654" width="3.28515625" style="109" customWidth="1"/>
    <col min="15655" max="15655" width="3.42578125" style="109" customWidth="1"/>
    <col min="15656" max="15656" width="2.85546875" style="109" customWidth="1"/>
    <col min="15657" max="15658" width="3.28515625" style="109" customWidth="1"/>
    <col min="15659" max="15665" width="11.42578125" style="109" customWidth="1"/>
    <col min="15666" max="15872" width="11.42578125" style="109"/>
    <col min="15873" max="15873" width="5.85546875" style="109" bestFit="1" customWidth="1"/>
    <col min="15874" max="15874" width="60.7109375" style="109" customWidth="1"/>
    <col min="15875" max="15875" width="19" style="109" customWidth="1"/>
    <col min="15876" max="15876" width="4.42578125" style="109" customWidth="1"/>
    <col min="15877" max="15901" width="6.42578125" style="109" customWidth="1"/>
    <col min="15902" max="15909" width="4.28515625" style="109" customWidth="1"/>
    <col min="15910" max="15910" width="3.28515625" style="109" customWidth="1"/>
    <col min="15911" max="15911" width="3.42578125" style="109" customWidth="1"/>
    <col min="15912" max="15912" width="2.85546875" style="109" customWidth="1"/>
    <col min="15913" max="15914" width="3.28515625" style="109" customWidth="1"/>
    <col min="15915" max="15921" width="11.42578125" style="109" customWidth="1"/>
    <col min="15922" max="16128" width="11.42578125" style="109"/>
    <col min="16129" max="16129" width="5.85546875" style="109" bestFit="1" customWidth="1"/>
    <col min="16130" max="16130" width="60.7109375" style="109" customWidth="1"/>
    <col min="16131" max="16131" width="19" style="109" customWidth="1"/>
    <col min="16132" max="16132" width="4.42578125" style="109" customWidth="1"/>
    <col min="16133" max="16157" width="6.42578125" style="109" customWidth="1"/>
    <col min="16158" max="16165" width="4.28515625" style="109" customWidth="1"/>
    <col min="16166" max="16166" width="3.28515625" style="109" customWidth="1"/>
    <col min="16167" max="16167" width="3.42578125" style="109" customWidth="1"/>
    <col min="16168" max="16168" width="2.85546875" style="109" customWidth="1"/>
    <col min="16169" max="16170" width="3.28515625" style="109" customWidth="1"/>
    <col min="16171" max="16177" width="11.42578125" style="109" customWidth="1"/>
    <col min="16178" max="16384" width="11.42578125" style="109"/>
  </cols>
  <sheetData>
    <row r="1" spans="1:49" ht="36.950000000000003" customHeight="1"/>
    <row r="2" spans="1:49" ht="20.25">
      <c r="B2" s="111" t="s">
        <v>218</v>
      </c>
      <c r="G2" s="112"/>
      <c r="H2" s="112"/>
      <c r="I2" s="112"/>
      <c r="J2" s="113"/>
      <c r="K2" s="114"/>
      <c r="L2" s="114"/>
      <c r="M2" s="114"/>
      <c r="N2" s="115"/>
      <c r="O2" s="116"/>
      <c r="P2" s="112"/>
      <c r="Q2" s="112"/>
      <c r="R2" s="112"/>
      <c r="S2" s="112"/>
      <c r="T2" s="112"/>
      <c r="U2" s="112"/>
      <c r="V2" s="112"/>
      <c r="W2" s="112"/>
      <c r="X2" s="112"/>
      <c r="Y2" s="112"/>
      <c r="AE2" s="117" t="s">
        <v>219</v>
      </c>
    </row>
    <row r="3" spans="1:49" ht="18.75" thickBot="1">
      <c r="B3" s="118"/>
      <c r="E3" s="119"/>
      <c r="F3" s="119"/>
      <c r="G3" s="119"/>
      <c r="H3" s="119"/>
      <c r="I3" s="119"/>
      <c r="J3" s="119"/>
      <c r="K3" s="119"/>
      <c r="L3" s="119"/>
      <c r="M3" s="119"/>
      <c r="N3" s="119"/>
      <c r="O3" s="119"/>
      <c r="P3" s="119"/>
      <c r="Q3" s="119"/>
      <c r="R3" s="119"/>
      <c r="S3" s="119"/>
      <c r="T3" s="119"/>
      <c r="U3" s="119"/>
      <c r="V3" s="119"/>
      <c r="W3" s="119"/>
      <c r="X3" s="119"/>
      <c r="Y3" s="112"/>
      <c r="AE3" s="120" t="s">
        <v>220</v>
      </c>
    </row>
    <row r="4" spans="1:49" s="135" customFormat="1" ht="18" customHeight="1">
      <c r="A4" s="121">
        <v>1</v>
      </c>
      <c r="B4" s="122" t="str">
        <f>IF(E$25="","",E$25)</f>
        <v>Color</v>
      </c>
      <c r="C4" s="123"/>
      <c r="D4" s="124"/>
      <c r="E4" s="125"/>
      <c r="F4" s="126"/>
      <c r="G4" s="126"/>
      <c r="H4" s="126"/>
      <c r="I4" s="126"/>
      <c r="J4" s="126"/>
      <c r="K4" s="126"/>
      <c r="L4" s="126"/>
      <c r="M4" s="126"/>
      <c r="N4" s="127"/>
      <c r="O4" s="128"/>
      <c r="P4" s="129" t="s">
        <v>221</v>
      </c>
      <c r="Q4" s="130" t="s">
        <v>222</v>
      </c>
      <c r="R4" s="131"/>
      <c r="S4" s="131"/>
      <c r="T4" s="131"/>
      <c r="U4" s="132"/>
      <c r="V4" s="133"/>
      <c r="W4" s="126"/>
      <c r="X4" s="126"/>
      <c r="Y4" s="134"/>
      <c r="AA4" s="136"/>
      <c r="AB4" s="136"/>
      <c r="AC4" s="136"/>
      <c r="AE4" s="137" t="s">
        <v>223</v>
      </c>
      <c r="AO4" s="138"/>
      <c r="AP4" s="138"/>
      <c r="AQ4" s="138"/>
      <c r="AR4" s="138"/>
      <c r="AS4" s="138"/>
      <c r="AT4" s="138"/>
      <c r="AU4" s="138"/>
      <c r="AV4" s="138"/>
      <c r="AW4" s="138"/>
    </row>
    <row r="5" spans="1:49" s="135" customFormat="1" ht="18" customHeight="1" thickBot="1">
      <c r="A5" s="121">
        <v>2</v>
      </c>
      <c r="B5" s="139" t="str">
        <f>IF(F$25="","",F$25)</f>
        <v>Yield Strength</v>
      </c>
      <c r="C5" s="140"/>
      <c r="D5" s="141"/>
      <c r="E5" s="142"/>
      <c r="F5" s="126"/>
      <c r="G5" s="126"/>
      <c r="H5" s="126"/>
      <c r="I5" s="126"/>
      <c r="J5" s="126"/>
      <c r="K5" s="126"/>
      <c r="L5" s="126"/>
      <c r="M5" s="126"/>
      <c r="N5" s="143"/>
      <c r="O5" s="144"/>
      <c r="P5" s="145" t="s">
        <v>224</v>
      </c>
      <c r="Q5" s="146" t="s">
        <v>225</v>
      </c>
      <c r="R5" s="147"/>
      <c r="S5" s="147"/>
      <c r="T5" s="147"/>
      <c r="U5" s="147"/>
      <c r="V5" s="148"/>
      <c r="W5" s="126"/>
      <c r="X5" s="126"/>
      <c r="Y5" s="149"/>
      <c r="AA5" s="136"/>
      <c r="AB5" s="136"/>
      <c r="AC5" s="136"/>
      <c r="AE5" s="137" t="s">
        <v>226</v>
      </c>
      <c r="AO5" s="138"/>
      <c r="AP5" s="138"/>
      <c r="AQ5" s="138"/>
      <c r="AR5" s="138"/>
      <c r="AS5" s="138"/>
      <c r="AT5" s="138"/>
      <c r="AU5" s="138"/>
      <c r="AV5" s="138"/>
      <c r="AW5" s="138"/>
    </row>
    <row r="6" spans="1:49" s="135" customFormat="1" ht="18" customHeight="1">
      <c r="A6" s="121">
        <v>3</v>
      </c>
      <c r="B6" s="150" t="str">
        <f>IF(G$25="","",G$25)</f>
        <v>Hardness of cookie</v>
      </c>
      <c r="C6" s="151"/>
      <c r="D6" s="152"/>
      <c r="E6" s="142"/>
      <c r="F6" s="153"/>
      <c r="G6" s="154"/>
      <c r="H6" s="126"/>
      <c r="I6" s="126"/>
      <c r="J6" s="126"/>
      <c r="K6" s="126"/>
      <c r="L6" s="126"/>
      <c r="M6" s="126"/>
      <c r="N6" s="112"/>
      <c r="O6" s="112"/>
      <c r="P6" s="112"/>
      <c r="Q6" s="155" t="s">
        <v>227</v>
      </c>
      <c r="R6" s="156"/>
      <c r="S6" s="156"/>
      <c r="T6" s="156"/>
      <c r="U6" s="157"/>
      <c r="V6" s="158"/>
      <c r="W6" s="126"/>
      <c r="X6" s="126"/>
      <c r="Y6" s="149"/>
      <c r="Z6" s="136"/>
      <c r="AA6" s="136"/>
      <c r="AB6" s="136"/>
      <c r="AC6" s="136"/>
      <c r="AE6" s="159" t="s">
        <v>228</v>
      </c>
      <c r="AO6" s="138"/>
      <c r="AP6" s="138"/>
      <c r="AQ6" s="138"/>
      <c r="AR6" s="138"/>
      <c r="AS6" s="138"/>
      <c r="AT6" s="138"/>
      <c r="AU6" s="138"/>
      <c r="AV6" s="138"/>
      <c r="AW6" s="138"/>
    </row>
    <row r="7" spans="1:49" s="135" customFormat="1" ht="18" customHeight="1">
      <c r="A7" s="121">
        <v>4</v>
      </c>
      <c r="B7" s="150" t="str">
        <f>IF(H$25="","",H$25)</f>
        <v>Weight</v>
      </c>
      <c r="C7" s="151"/>
      <c r="D7" s="152"/>
      <c r="E7" s="142"/>
      <c r="F7" s="153"/>
      <c r="G7" s="160"/>
      <c r="H7" s="154"/>
      <c r="I7" s="126"/>
      <c r="J7" s="126"/>
      <c r="K7" s="126"/>
      <c r="L7" s="126"/>
      <c r="M7" s="126"/>
      <c r="N7" s="126"/>
      <c r="O7" s="126"/>
      <c r="P7" s="126"/>
      <c r="Q7" s="126"/>
      <c r="R7" s="126"/>
      <c r="S7" s="126"/>
      <c r="T7" s="126"/>
      <c r="U7" s="126"/>
      <c r="V7" s="126"/>
      <c r="W7" s="126"/>
      <c r="X7" s="126"/>
      <c r="Y7" s="161"/>
      <c r="Z7" s="136"/>
      <c r="AA7" s="136"/>
      <c r="AB7" s="136"/>
      <c r="AC7" s="136"/>
      <c r="AE7" s="162" t="s">
        <v>229</v>
      </c>
      <c r="AO7" s="138"/>
      <c r="AP7" s="138"/>
      <c r="AQ7" s="138"/>
      <c r="AR7" s="138"/>
      <c r="AS7" s="138"/>
      <c r="AT7" s="138"/>
      <c r="AU7" s="138"/>
      <c r="AV7" s="138"/>
      <c r="AW7" s="138"/>
    </row>
    <row r="8" spans="1:49" s="135" customFormat="1" ht="18" customHeight="1">
      <c r="A8" s="121">
        <v>5</v>
      </c>
      <c r="B8" s="150" t="str">
        <f>IF(I$25="","",I$25)</f>
        <v>Size</v>
      </c>
      <c r="C8" s="151"/>
      <c r="D8" s="152"/>
      <c r="E8" s="163"/>
      <c r="F8" s="160"/>
      <c r="G8" s="160"/>
      <c r="H8" s="153"/>
      <c r="I8" s="154"/>
      <c r="J8" s="164"/>
      <c r="K8" s="164"/>
      <c r="L8" s="164"/>
      <c r="M8" s="164"/>
      <c r="N8" s="164"/>
      <c r="O8" s="165"/>
      <c r="P8" s="164"/>
      <c r="Q8" s="164"/>
      <c r="R8" s="164"/>
      <c r="S8" s="164"/>
      <c r="T8" s="164"/>
      <c r="U8" s="164"/>
      <c r="V8" s="164"/>
      <c r="W8" s="164"/>
      <c r="X8" s="164"/>
      <c r="Y8" s="161"/>
      <c r="Z8" s="136"/>
      <c r="AA8" s="136"/>
      <c r="AB8" s="136"/>
      <c r="AC8" s="136"/>
      <c r="AO8" s="138"/>
      <c r="AP8" s="138"/>
      <c r="AQ8" s="138"/>
      <c r="AR8" s="138"/>
      <c r="AS8" s="138"/>
      <c r="AT8" s="138"/>
      <c r="AU8" s="138"/>
      <c r="AV8" s="138"/>
      <c r="AW8" s="138"/>
    </row>
    <row r="9" spans="1:49" s="135" customFormat="1" ht="18" customHeight="1">
      <c r="A9" s="121">
        <v>6</v>
      </c>
      <c r="B9" s="150" t="str">
        <f>IF(J$25="","",J$25)</f>
        <v>Thickness</v>
      </c>
      <c r="C9" s="151"/>
      <c r="D9" s="152"/>
      <c r="E9" s="142"/>
      <c r="F9" s="160"/>
      <c r="G9" s="160"/>
      <c r="H9" s="153"/>
      <c r="I9" s="160"/>
      <c r="J9" s="154"/>
      <c r="K9" s="126"/>
      <c r="L9" s="126"/>
      <c r="M9" s="126"/>
      <c r="N9" s="126"/>
      <c r="O9" s="126"/>
      <c r="P9" s="126"/>
      <c r="Q9" s="126"/>
      <c r="R9" s="126"/>
      <c r="S9" s="126"/>
      <c r="T9" s="126"/>
      <c r="U9" s="126"/>
      <c r="V9" s="126"/>
      <c r="W9" s="126"/>
      <c r="X9" s="126"/>
      <c r="AO9" s="138"/>
      <c r="AP9" s="138"/>
      <c r="AQ9" s="138"/>
      <c r="AR9" s="138"/>
      <c r="AS9" s="138"/>
      <c r="AT9" s="138"/>
      <c r="AU9" s="138"/>
      <c r="AV9" s="138"/>
      <c r="AW9" s="138"/>
    </row>
    <row r="10" spans="1:49" s="135" customFormat="1" ht="18" customHeight="1">
      <c r="A10" s="121">
        <v>7</v>
      </c>
      <c r="B10" s="150" t="str">
        <f>IF(K$25="","",K$25)</f>
        <v>Cost per cookie</v>
      </c>
      <c r="C10" s="151"/>
      <c r="D10" s="152"/>
      <c r="E10" s="163"/>
      <c r="F10" s="160"/>
      <c r="G10" s="160"/>
      <c r="H10" s="160"/>
      <c r="I10" s="160"/>
      <c r="J10" s="160"/>
      <c r="K10" s="166"/>
      <c r="L10" s="125"/>
      <c r="M10" s="125"/>
      <c r="N10" s="125"/>
      <c r="O10" s="125"/>
      <c r="P10" s="125"/>
      <c r="Q10" s="125"/>
      <c r="R10" s="125"/>
      <c r="S10" s="125"/>
      <c r="T10" s="125"/>
      <c r="U10" s="125"/>
      <c r="V10" s="125"/>
      <c r="W10" s="125"/>
      <c r="X10" s="126"/>
      <c r="Z10" s="161"/>
      <c r="AA10" s="136"/>
      <c r="AB10" s="136"/>
      <c r="AC10" s="136"/>
      <c r="AO10" s="138"/>
      <c r="AP10" s="138"/>
      <c r="AQ10" s="138"/>
      <c r="AR10" s="138"/>
      <c r="AS10" s="138"/>
      <c r="AT10" s="138"/>
      <c r="AU10" s="138"/>
      <c r="AV10" s="138"/>
      <c r="AW10" s="138"/>
    </row>
    <row r="11" spans="1:49" s="135" customFormat="1" ht="18" customHeight="1">
      <c r="A11" s="121">
        <v>8</v>
      </c>
      <c r="B11" s="150" t="str">
        <f>IF(L$25="","",L$25)</f>
        <v/>
      </c>
      <c r="C11" s="151"/>
      <c r="D11" s="152"/>
      <c r="E11" s="142"/>
      <c r="F11" s="160"/>
      <c r="G11" s="160"/>
      <c r="H11" s="160"/>
      <c r="I11" s="160"/>
      <c r="J11" s="160"/>
      <c r="K11" s="153"/>
      <c r="L11" s="166"/>
      <c r="M11" s="125"/>
      <c r="N11" s="125"/>
      <c r="O11" s="125"/>
      <c r="P11" s="125"/>
      <c r="Q11" s="125"/>
      <c r="R11" s="125"/>
      <c r="S11" s="125"/>
      <c r="T11" s="125"/>
      <c r="U11" s="125"/>
      <c r="V11" s="125"/>
      <c r="W11" s="125"/>
      <c r="X11" s="126"/>
      <c r="Z11" s="161"/>
      <c r="AA11" s="136"/>
      <c r="AB11" s="136"/>
      <c r="AC11" s="136"/>
      <c r="AO11" s="138"/>
      <c r="AP11" s="138"/>
      <c r="AQ11" s="138"/>
      <c r="AR11" s="138"/>
      <c r="AS11" s="138"/>
      <c r="AT11" s="138"/>
      <c r="AU11" s="138"/>
      <c r="AV11" s="138"/>
      <c r="AW11" s="138"/>
    </row>
    <row r="12" spans="1:49" s="135" customFormat="1" ht="18" customHeight="1">
      <c r="A12" s="121">
        <v>9</v>
      </c>
      <c r="B12" s="150" t="str">
        <f>IF(M$25="","",M$25)</f>
        <v/>
      </c>
      <c r="C12" s="151"/>
      <c r="D12" s="152"/>
      <c r="E12" s="163"/>
      <c r="F12" s="153"/>
      <c r="G12" s="160"/>
      <c r="H12" s="153"/>
      <c r="I12" s="153"/>
      <c r="J12" s="153"/>
      <c r="K12" s="153"/>
      <c r="L12" s="160"/>
      <c r="M12" s="166"/>
      <c r="N12" s="125"/>
      <c r="O12" s="125"/>
      <c r="P12" s="125"/>
      <c r="Q12" s="125"/>
      <c r="R12" s="126"/>
      <c r="S12" s="125"/>
      <c r="T12" s="125"/>
      <c r="U12" s="125"/>
      <c r="V12" s="125"/>
      <c r="W12" s="125"/>
      <c r="X12" s="126"/>
      <c r="Z12" s="161"/>
      <c r="AA12" s="136"/>
      <c r="AB12" s="136"/>
      <c r="AC12" s="136"/>
      <c r="AO12" s="138"/>
      <c r="AP12" s="138"/>
      <c r="AQ12" s="138"/>
      <c r="AR12" s="138"/>
      <c r="AS12" s="138"/>
      <c r="AT12" s="138"/>
      <c r="AU12" s="138"/>
      <c r="AV12" s="138"/>
      <c r="AW12" s="138"/>
    </row>
    <row r="13" spans="1:49" s="135" customFormat="1" ht="18" customHeight="1">
      <c r="A13" s="121">
        <v>10</v>
      </c>
      <c r="B13" s="150" t="str">
        <f>IF(N$25="","",N$25)</f>
        <v/>
      </c>
      <c r="C13" s="151"/>
      <c r="D13" s="152"/>
      <c r="E13" s="142"/>
      <c r="F13" s="153"/>
      <c r="G13" s="153"/>
      <c r="H13" s="153"/>
      <c r="I13" s="153"/>
      <c r="J13" s="153"/>
      <c r="K13" s="153"/>
      <c r="L13" s="153"/>
      <c r="M13" s="160"/>
      <c r="N13" s="166"/>
      <c r="O13" s="125"/>
      <c r="P13" s="125"/>
      <c r="Q13" s="125"/>
      <c r="R13" s="125"/>
      <c r="S13" s="125"/>
      <c r="T13" s="125"/>
      <c r="U13" s="125"/>
      <c r="V13" s="125"/>
      <c r="W13" s="125"/>
      <c r="X13" s="126"/>
      <c r="Z13" s="161"/>
      <c r="AA13" s="136"/>
      <c r="AB13" s="136"/>
      <c r="AC13" s="136"/>
      <c r="AO13" s="138"/>
      <c r="AP13" s="138"/>
      <c r="AQ13" s="138"/>
      <c r="AR13" s="138"/>
      <c r="AS13" s="138"/>
      <c r="AT13" s="138"/>
      <c r="AU13" s="138"/>
      <c r="AV13" s="138"/>
      <c r="AW13" s="138"/>
    </row>
    <row r="14" spans="1:49" s="135" customFormat="1" ht="18" customHeight="1">
      <c r="A14" s="121">
        <v>11</v>
      </c>
      <c r="B14" s="150" t="str">
        <f>IF(O$25="","",O$25)</f>
        <v/>
      </c>
      <c r="C14" s="151"/>
      <c r="D14" s="152"/>
      <c r="E14" s="142"/>
      <c r="F14" s="160"/>
      <c r="G14" s="153"/>
      <c r="H14" s="160"/>
      <c r="I14" s="153"/>
      <c r="J14" s="153"/>
      <c r="K14" s="153"/>
      <c r="L14" s="160"/>
      <c r="M14" s="153"/>
      <c r="N14" s="153"/>
      <c r="O14" s="125"/>
      <c r="P14" s="125"/>
      <c r="Q14" s="125"/>
      <c r="R14" s="125"/>
      <c r="S14" s="125"/>
      <c r="T14" s="125"/>
      <c r="U14" s="125"/>
      <c r="V14" s="125"/>
      <c r="W14" s="125"/>
      <c r="X14" s="126"/>
      <c r="Z14" s="161"/>
      <c r="AA14" s="136"/>
      <c r="AB14" s="136"/>
      <c r="AC14" s="136"/>
      <c r="AO14" s="138"/>
      <c r="AP14" s="138"/>
      <c r="AQ14" s="138"/>
      <c r="AR14" s="138"/>
      <c r="AS14" s="138"/>
      <c r="AT14" s="138"/>
      <c r="AU14" s="138"/>
      <c r="AV14" s="138"/>
      <c r="AW14" s="138"/>
    </row>
    <row r="15" spans="1:49" s="135" customFormat="1" ht="18" customHeight="1">
      <c r="A15" s="121">
        <v>12</v>
      </c>
      <c r="B15" s="150" t="str">
        <f>IF(P$25="","",P$25)</f>
        <v/>
      </c>
      <c r="C15" s="151"/>
      <c r="D15" s="152"/>
      <c r="E15" s="163"/>
      <c r="F15" s="153"/>
      <c r="G15" s="160"/>
      <c r="H15" s="153"/>
      <c r="I15" s="153"/>
      <c r="J15" s="153"/>
      <c r="K15" s="153"/>
      <c r="L15" s="153"/>
      <c r="M15" s="153"/>
      <c r="N15" s="153"/>
      <c r="O15" s="153"/>
      <c r="P15" s="166"/>
      <c r="Q15" s="125"/>
      <c r="R15" s="125"/>
      <c r="S15" s="125"/>
      <c r="T15" s="125"/>
      <c r="U15" s="125"/>
      <c r="V15" s="125"/>
      <c r="W15" s="125"/>
      <c r="X15" s="126"/>
      <c r="Z15" s="161"/>
      <c r="AA15" s="136"/>
      <c r="AB15" s="136"/>
      <c r="AC15" s="136"/>
      <c r="AO15" s="138"/>
      <c r="AP15" s="138"/>
      <c r="AQ15" s="138"/>
      <c r="AR15" s="138"/>
      <c r="AS15" s="138"/>
      <c r="AT15" s="138"/>
      <c r="AU15" s="138"/>
      <c r="AV15" s="138"/>
      <c r="AW15" s="138"/>
    </row>
    <row r="16" spans="1:49" s="135" customFormat="1" ht="18" customHeight="1">
      <c r="A16" s="121">
        <v>13</v>
      </c>
      <c r="B16" s="150" t="str">
        <f>IF(Q$25="","",Q$25)</f>
        <v/>
      </c>
      <c r="C16" s="151"/>
      <c r="D16" s="152"/>
      <c r="E16" s="163"/>
      <c r="F16" s="153"/>
      <c r="G16" s="153"/>
      <c r="H16" s="160"/>
      <c r="I16" s="153"/>
      <c r="J16" s="153"/>
      <c r="K16" s="153"/>
      <c r="L16" s="153"/>
      <c r="M16" s="153"/>
      <c r="N16" s="153"/>
      <c r="O16" s="153"/>
      <c r="P16" s="160"/>
      <c r="Q16" s="166"/>
      <c r="R16" s="125"/>
      <c r="S16" s="125"/>
      <c r="T16" s="125"/>
      <c r="U16" s="125"/>
      <c r="V16" s="125"/>
      <c r="W16" s="125"/>
      <c r="X16" s="126"/>
      <c r="Z16" s="161"/>
      <c r="AA16" s="136"/>
      <c r="AB16" s="136"/>
      <c r="AC16" s="136"/>
      <c r="AO16" s="138"/>
      <c r="AP16" s="138"/>
      <c r="AQ16" s="138"/>
      <c r="AR16" s="138"/>
      <c r="AS16" s="138"/>
      <c r="AT16" s="138"/>
      <c r="AU16" s="138"/>
      <c r="AV16" s="138"/>
      <c r="AW16" s="138"/>
    </row>
    <row r="17" spans="1:49" s="135" customFormat="1" ht="18" customHeight="1">
      <c r="A17" s="121">
        <v>14</v>
      </c>
      <c r="B17" s="150" t="str">
        <f>IF(R$25="","",R$25)</f>
        <v/>
      </c>
      <c r="C17" s="151"/>
      <c r="D17" s="152"/>
      <c r="E17" s="163"/>
      <c r="F17" s="153"/>
      <c r="G17" s="153"/>
      <c r="H17" s="160"/>
      <c r="I17" s="153"/>
      <c r="J17" s="153"/>
      <c r="K17" s="153"/>
      <c r="L17" s="153"/>
      <c r="M17" s="153"/>
      <c r="N17" s="153"/>
      <c r="O17" s="153"/>
      <c r="P17" s="153"/>
      <c r="Q17" s="153"/>
      <c r="R17" s="125"/>
      <c r="S17" s="125"/>
      <c r="T17" s="125"/>
      <c r="U17" s="125"/>
      <c r="V17" s="125"/>
      <c r="W17" s="125"/>
      <c r="X17" s="126"/>
      <c r="AC17" s="136"/>
      <c r="AO17" s="138"/>
      <c r="AP17" s="138"/>
      <c r="AQ17" s="138"/>
      <c r="AR17" s="138"/>
      <c r="AS17" s="138"/>
      <c r="AT17" s="138"/>
      <c r="AU17" s="138"/>
      <c r="AV17" s="138"/>
      <c r="AW17" s="138"/>
    </row>
    <row r="18" spans="1:49" s="135" customFormat="1" ht="18" customHeight="1" thickBot="1">
      <c r="A18" s="121">
        <v>15</v>
      </c>
      <c r="B18" s="150" t="str">
        <f>IF(S$25="","",S$25)</f>
        <v/>
      </c>
      <c r="C18" s="151"/>
      <c r="D18" s="152"/>
      <c r="E18" s="163"/>
      <c r="F18" s="153"/>
      <c r="G18" s="153"/>
      <c r="H18" s="160"/>
      <c r="I18" s="153"/>
      <c r="J18" s="153"/>
      <c r="K18" s="160"/>
      <c r="L18" s="153"/>
      <c r="M18" s="153"/>
      <c r="N18" s="153"/>
      <c r="O18" s="153"/>
      <c r="P18" s="153"/>
      <c r="Q18" s="153"/>
      <c r="R18" s="153"/>
      <c r="S18" s="166"/>
      <c r="T18" s="125"/>
      <c r="U18" s="125"/>
      <c r="V18" s="125"/>
      <c r="W18" s="125"/>
      <c r="X18" s="126"/>
      <c r="AC18" s="136"/>
      <c r="AO18" s="138"/>
      <c r="AP18" s="138"/>
      <c r="AQ18" s="138"/>
      <c r="AR18" s="138"/>
      <c r="AS18" s="138"/>
      <c r="AT18" s="138"/>
      <c r="AU18" s="138"/>
      <c r="AV18" s="138"/>
      <c r="AW18" s="138"/>
    </row>
    <row r="19" spans="1:49" s="135" customFormat="1" ht="18" customHeight="1" thickBot="1">
      <c r="A19" s="121">
        <v>16</v>
      </c>
      <c r="B19" s="150" t="str">
        <f>IF(T$25="","",T$25)</f>
        <v/>
      </c>
      <c r="C19" s="151"/>
      <c r="D19" s="152"/>
      <c r="E19" s="163"/>
      <c r="F19" s="153"/>
      <c r="G19" s="153"/>
      <c r="H19" s="153"/>
      <c r="I19" s="153"/>
      <c r="J19" s="153"/>
      <c r="K19" s="153"/>
      <c r="L19" s="153"/>
      <c r="M19" s="153"/>
      <c r="N19" s="153"/>
      <c r="O19" s="153"/>
      <c r="P19" s="153"/>
      <c r="Q19" s="153"/>
      <c r="R19" s="160"/>
      <c r="S19" s="153"/>
      <c r="T19" s="166"/>
      <c r="U19" s="125"/>
      <c r="V19" s="125"/>
      <c r="W19" s="125"/>
      <c r="X19" s="126"/>
      <c r="Z19" s="670" t="s">
        <v>230</v>
      </c>
      <c r="AA19" s="671"/>
      <c r="AB19" s="671"/>
      <c r="AC19" s="672"/>
      <c r="AO19" s="138"/>
      <c r="AP19" s="138"/>
      <c r="AQ19" s="138"/>
      <c r="AR19" s="138"/>
      <c r="AS19" s="138"/>
      <c r="AT19" s="138"/>
      <c r="AU19" s="138"/>
      <c r="AV19" s="138"/>
      <c r="AW19" s="138"/>
    </row>
    <row r="20" spans="1:49" s="135" customFormat="1" ht="18" customHeight="1">
      <c r="A20" s="121">
        <v>17</v>
      </c>
      <c r="B20" s="150" t="str">
        <f>IF(U$25="","",U$25)</f>
        <v/>
      </c>
      <c r="C20" s="151"/>
      <c r="D20" s="152"/>
      <c r="E20" s="163"/>
      <c r="F20" s="153"/>
      <c r="G20" s="153"/>
      <c r="H20" s="153"/>
      <c r="I20" s="153"/>
      <c r="J20" s="153"/>
      <c r="K20" s="153"/>
      <c r="L20" s="153"/>
      <c r="M20" s="153"/>
      <c r="N20" s="153"/>
      <c r="O20" s="153"/>
      <c r="P20" s="153"/>
      <c r="Q20" s="153"/>
      <c r="R20" s="153"/>
      <c r="S20" s="153"/>
      <c r="T20" s="153"/>
      <c r="U20" s="166"/>
      <c r="V20" s="125"/>
      <c r="W20" s="125"/>
      <c r="X20" s="126"/>
      <c r="Z20" s="167" t="s">
        <v>231</v>
      </c>
      <c r="AA20" s="168" t="s">
        <v>232</v>
      </c>
      <c r="AB20" s="169"/>
      <c r="AC20" s="170"/>
      <c r="AO20" s="138"/>
      <c r="AP20" s="138"/>
      <c r="AQ20" s="138"/>
      <c r="AR20" s="138"/>
      <c r="AS20" s="138"/>
      <c r="AT20" s="138"/>
      <c r="AU20" s="138"/>
      <c r="AV20" s="138"/>
      <c r="AW20" s="138"/>
    </row>
    <row r="21" spans="1:49" s="135" customFormat="1" ht="18" customHeight="1">
      <c r="A21" s="121">
        <v>18</v>
      </c>
      <c r="B21" s="150" t="str">
        <f>IF(V$25="","",V$25)</f>
        <v/>
      </c>
      <c r="C21" s="151"/>
      <c r="D21" s="152"/>
      <c r="E21" s="163"/>
      <c r="F21" s="153"/>
      <c r="G21" s="153"/>
      <c r="H21" s="153"/>
      <c r="I21" s="153"/>
      <c r="J21" s="153"/>
      <c r="K21" s="153"/>
      <c r="L21" s="153"/>
      <c r="M21" s="153"/>
      <c r="N21" s="153"/>
      <c r="O21" s="153"/>
      <c r="P21" s="153"/>
      <c r="Q21" s="153"/>
      <c r="R21" s="153"/>
      <c r="S21" s="153"/>
      <c r="T21" s="153"/>
      <c r="U21" s="153"/>
      <c r="V21" s="166"/>
      <c r="W21" s="125"/>
      <c r="X21" s="126"/>
      <c r="Z21" s="171" t="s">
        <v>233</v>
      </c>
      <c r="AA21" s="172" t="s">
        <v>234</v>
      </c>
      <c r="AB21" s="173"/>
      <c r="AC21" s="174"/>
      <c r="AO21" s="138"/>
      <c r="AP21" s="138"/>
      <c r="AQ21" s="138"/>
      <c r="AR21" s="138"/>
      <c r="AS21" s="138"/>
      <c r="AT21" s="138"/>
      <c r="AU21" s="138"/>
      <c r="AV21" s="138"/>
      <c r="AW21" s="138"/>
    </row>
    <row r="22" spans="1:49" s="135" customFormat="1" ht="18" customHeight="1" thickBot="1">
      <c r="A22" s="121">
        <v>19</v>
      </c>
      <c r="B22" s="150" t="str">
        <f>IF(W$25="","",W$25)</f>
        <v/>
      </c>
      <c r="C22" s="151"/>
      <c r="D22" s="152"/>
      <c r="E22" s="163"/>
      <c r="F22" s="153"/>
      <c r="G22" s="153"/>
      <c r="H22" s="153"/>
      <c r="I22" s="153"/>
      <c r="J22" s="153"/>
      <c r="K22" s="153"/>
      <c r="L22" s="153"/>
      <c r="M22" s="153"/>
      <c r="N22" s="153"/>
      <c r="O22" s="153"/>
      <c r="P22" s="153"/>
      <c r="Q22" s="153"/>
      <c r="R22" s="153"/>
      <c r="S22" s="153"/>
      <c r="T22" s="153"/>
      <c r="U22" s="153"/>
      <c r="V22" s="153"/>
      <c r="W22" s="166"/>
      <c r="X22" s="126"/>
      <c r="Z22" s="175" t="s">
        <v>235</v>
      </c>
      <c r="AA22" s="176" t="s">
        <v>236</v>
      </c>
      <c r="AB22" s="177"/>
      <c r="AC22" s="178"/>
      <c r="AO22" s="138"/>
      <c r="AP22" s="138"/>
      <c r="AQ22" s="138"/>
      <c r="AR22" s="138"/>
      <c r="AS22" s="138"/>
      <c r="AT22" s="138"/>
      <c r="AU22" s="138"/>
      <c r="AV22" s="138"/>
      <c r="AW22" s="138"/>
    </row>
    <row r="23" spans="1:49" s="135" customFormat="1" ht="18" customHeight="1" thickBot="1">
      <c r="A23" s="121">
        <v>20</v>
      </c>
      <c r="B23" s="179" t="str">
        <f>IF(X$25="","",X$25)</f>
        <v/>
      </c>
      <c r="C23" s="180"/>
      <c r="D23" s="181"/>
      <c r="E23" s="182"/>
      <c r="F23" s="183"/>
      <c r="G23" s="183"/>
      <c r="H23" s="183"/>
      <c r="I23" s="183"/>
      <c r="J23" s="183"/>
      <c r="K23" s="183"/>
      <c r="L23" s="183"/>
      <c r="M23" s="183"/>
      <c r="N23" s="183"/>
      <c r="O23" s="183"/>
      <c r="P23" s="183"/>
      <c r="Q23" s="183"/>
      <c r="R23" s="183"/>
      <c r="S23" s="183"/>
      <c r="T23" s="183"/>
      <c r="U23" s="183"/>
      <c r="V23" s="183"/>
      <c r="W23" s="184"/>
      <c r="X23" s="126"/>
      <c r="Z23" s="161"/>
      <c r="AA23" s="136"/>
      <c r="AB23" s="136"/>
      <c r="AC23" s="136"/>
      <c r="AO23" s="138"/>
      <c r="AP23" s="138"/>
      <c r="AQ23" s="138"/>
      <c r="AR23" s="138"/>
      <c r="AS23" s="138"/>
      <c r="AT23" s="138"/>
      <c r="AU23" s="138"/>
      <c r="AV23" s="138"/>
      <c r="AW23" s="138"/>
    </row>
    <row r="24" spans="1:49" ht="16.5" thickBot="1">
      <c r="E24" s="185" t="s">
        <v>237</v>
      </c>
      <c r="F24" s="186"/>
      <c r="G24" s="186"/>
      <c r="H24" s="186"/>
      <c r="I24" s="186"/>
      <c r="J24" s="186"/>
      <c r="K24" s="186"/>
      <c r="L24" s="186"/>
      <c r="M24" s="186"/>
      <c r="N24" s="186"/>
      <c r="O24" s="186"/>
      <c r="P24" s="186"/>
      <c r="Q24" s="186"/>
      <c r="R24" s="186"/>
      <c r="S24" s="186"/>
      <c r="T24" s="186"/>
      <c r="U24" s="186"/>
      <c r="V24" s="186"/>
      <c r="W24" s="186"/>
      <c r="X24" s="187"/>
      <c r="Y24" s="188" t="s">
        <v>238</v>
      </c>
      <c r="Z24" s="189"/>
      <c r="AA24" s="189"/>
      <c r="AB24" s="189"/>
      <c r="AC24" s="190"/>
    </row>
    <row r="25" spans="1:49" ht="339.95" customHeight="1" thickBot="1">
      <c r="B25" s="191" t="s">
        <v>239</v>
      </c>
      <c r="C25" s="192" t="s">
        <v>240</v>
      </c>
      <c r="D25" s="193" t="s">
        <v>241</v>
      </c>
      <c r="E25" s="194" t="s">
        <v>261</v>
      </c>
      <c r="F25" s="195" t="s">
        <v>262</v>
      </c>
      <c r="G25" s="195" t="s">
        <v>263</v>
      </c>
      <c r="H25" s="195" t="s">
        <v>264</v>
      </c>
      <c r="I25" s="195" t="s">
        <v>265</v>
      </c>
      <c r="J25" s="195" t="s">
        <v>266</v>
      </c>
      <c r="K25" s="195" t="s">
        <v>267</v>
      </c>
      <c r="L25" s="195"/>
      <c r="M25" s="195"/>
      <c r="N25" s="195"/>
      <c r="O25" s="195"/>
      <c r="P25" s="195"/>
      <c r="Q25" s="195"/>
      <c r="R25" s="195"/>
      <c r="S25" s="195"/>
      <c r="T25" s="195"/>
      <c r="U25" s="195"/>
      <c r="V25" s="195"/>
      <c r="W25" s="195"/>
      <c r="X25" s="196"/>
      <c r="Y25" s="197" t="s">
        <v>242</v>
      </c>
      <c r="Z25" s="198">
        <v>2</v>
      </c>
      <c r="AA25" s="198" t="s">
        <v>243</v>
      </c>
      <c r="AB25" s="198">
        <v>4</v>
      </c>
      <c r="AC25" s="199" t="s">
        <v>244</v>
      </c>
    </row>
    <row r="26" spans="1:49" s="135" customFormat="1" ht="18" customHeight="1">
      <c r="A26" s="121">
        <v>1</v>
      </c>
      <c r="B26" s="200" t="s">
        <v>256</v>
      </c>
      <c r="C26" s="201">
        <v>5</v>
      </c>
      <c r="D26" s="202" t="s">
        <v>270</v>
      </c>
      <c r="E26" s="203"/>
      <c r="F26" s="204">
        <v>9</v>
      </c>
      <c r="G26" s="205">
        <v>9</v>
      </c>
      <c r="H26" s="205"/>
      <c r="I26" s="204"/>
      <c r="J26" s="204"/>
      <c r="K26" s="204"/>
      <c r="L26" s="205"/>
      <c r="M26" s="205"/>
      <c r="N26" s="205"/>
      <c r="O26" s="205"/>
      <c r="P26" s="205"/>
      <c r="Q26" s="205"/>
      <c r="R26" s="205"/>
      <c r="S26" s="205"/>
      <c r="T26" s="205"/>
      <c r="U26" s="205"/>
      <c r="V26" s="205"/>
      <c r="W26" s="205"/>
      <c r="X26" s="206"/>
      <c r="Y26" s="207" t="s">
        <v>269</v>
      </c>
      <c r="Z26" s="203" t="s">
        <v>233</v>
      </c>
      <c r="AA26" s="203" t="s">
        <v>231</v>
      </c>
      <c r="AB26" s="203"/>
      <c r="AC26" s="206"/>
      <c r="AO26" s="138"/>
      <c r="AP26" s="138"/>
      <c r="AQ26" s="138"/>
      <c r="AR26" s="138"/>
      <c r="AS26" s="138"/>
      <c r="AT26" s="138"/>
      <c r="AU26" s="138"/>
      <c r="AV26" s="138"/>
      <c r="AW26" s="138"/>
    </row>
    <row r="27" spans="1:49" s="135" customFormat="1" ht="18" customHeight="1">
      <c r="A27" s="121">
        <v>2</v>
      </c>
      <c r="B27" s="200" t="s">
        <v>257</v>
      </c>
      <c r="C27" s="201">
        <v>10</v>
      </c>
      <c r="D27" s="202" t="s">
        <v>270</v>
      </c>
      <c r="E27" s="208"/>
      <c r="F27" s="209"/>
      <c r="G27" s="210"/>
      <c r="H27" s="210">
        <v>1</v>
      </c>
      <c r="I27" s="209">
        <v>9</v>
      </c>
      <c r="J27" s="209">
        <v>3</v>
      </c>
      <c r="K27" s="209"/>
      <c r="L27" s="210"/>
      <c r="M27" s="210"/>
      <c r="N27" s="210"/>
      <c r="O27" s="210"/>
      <c r="P27" s="210"/>
      <c r="Q27" s="210"/>
      <c r="R27" s="210"/>
      <c r="S27" s="210"/>
      <c r="T27" s="210"/>
      <c r="U27" s="210"/>
      <c r="V27" s="210"/>
      <c r="W27" s="210"/>
      <c r="X27" s="211"/>
      <c r="Y27" s="212"/>
      <c r="Z27" s="213" t="s">
        <v>231</v>
      </c>
      <c r="AA27" s="213" t="s">
        <v>233</v>
      </c>
      <c r="AB27" s="213" t="s">
        <v>235</v>
      </c>
      <c r="AC27" s="214"/>
      <c r="AO27" s="138"/>
      <c r="AP27" s="138"/>
      <c r="AQ27" s="138"/>
      <c r="AR27" s="138"/>
      <c r="AS27" s="138"/>
      <c r="AT27" s="138"/>
      <c r="AU27" s="138"/>
      <c r="AV27" s="138"/>
      <c r="AW27" s="138"/>
    </row>
    <row r="28" spans="1:49" s="135" customFormat="1" ht="18" customHeight="1">
      <c r="A28" s="121">
        <v>3</v>
      </c>
      <c r="B28" s="200" t="s">
        <v>258</v>
      </c>
      <c r="C28" s="201">
        <v>10</v>
      </c>
      <c r="D28" s="202" t="s">
        <v>233</v>
      </c>
      <c r="E28" s="208"/>
      <c r="F28" s="209"/>
      <c r="G28" s="210"/>
      <c r="H28" s="210"/>
      <c r="I28" s="209"/>
      <c r="J28" s="209"/>
      <c r="K28" s="209">
        <v>9</v>
      </c>
      <c r="L28" s="210"/>
      <c r="M28" s="210"/>
      <c r="N28" s="210"/>
      <c r="O28" s="210"/>
      <c r="P28" s="210"/>
      <c r="Q28" s="210"/>
      <c r="R28" s="210"/>
      <c r="S28" s="210"/>
      <c r="T28" s="210"/>
      <c r="U28" s="210"/>
      <c r="V28" s="210"/>
      <c r="W28" s="210"/>
      <c r="X28" s="211"/>
      <c r="Y28" s="212"/>
      <c r="Z28" s="213"/>
      <c r="AA28" s="213" t="s">
        <v>235</v>
      </c>
      <c r="AB28" s="213" t="s">
        <v>231</v>
      </c>
      <c r="AC28" s="214" t="s">
        <v>233</v>
      </c>
      <c r="AO28" s="138"/>
      <c r="AP28" s="138"/>
      <c r="AQ28" s="138"/>
      <c r="AR28" s="138"/>
      <c r="AS28" s="138"/>
      <c r="AT28" s="138"/>
      <c r="AU28" s="138"/>
      <c r="AV28" s="138"/>
      <c r="AW28" s="138"/>
    </row>
    <row r="29" spans="1:49" s="135" customFormat="1" ht="18" customHeight="1">
      <c r="A29" s="121">
        <v>4</v>
      </c>
      <c r="B29" s="200" t="s">
        <v>259</v>
      </c>
      <c r="C29" s="201">
        <v>7</v>
      </c>
      <c r="D29" s="202" t="s">
        <v>271</v>
      </c>
      <c r="E29" s="208"/>
      <c r="F29" s="209">
        <v>9</v>
      </c>
      <c r="G29" s="210">
        <v>3</v>
      </c>
      <c r="H29" s="210"/>
      <c r="I29" s="209">
        <v>9</v>
      </c>
      <c r="J29" s="209"/>
      <c r="K29" s="209">
        <v>9</v>
      </c>
      <c r="L29" s="210"/>
      <c r="M29" s="210"/>
      <c r="N29" s="210"/>
      <c r="O29" s="210"/>
      <c r="P29" s="210"/>
      <c r="Q29" s="210"/>
      <c r="R29" s="210"/>
      <c r="S29" s="210"/>
      <c r="T29" s="210"/>
      <c r="U29" s="210"/>
      <c r="V29" s="210"/>
      <c r="W29" s="210"/>
      <c r="X29" s="211"/>
      <c r="Y29" s="212"/>
      <c r="Z29" s="213"/>
      <c r="AA29" s="213" t="s">
        <v>231</v>
      </c>
      <c r="AB29" s="213" t="s">
        <v>233</v>
      </c>
      <c r="AC29" s="214" t="s">
        <v>235</v>
      </c>
      <c r="AO29" s="138"/>
      <c r="AP29" s="138"/>
      <c r="AQ29" s="138"/>
      <c r="AR29" s="138"/>
      <c r="AS29" s="138"/>
      <c r="AT29" s="138"/>
      <c r="AU29" s="138"/>
      <c r="AV29" s="138"/>
      <c r="AW29" s="138"/>
    </row>
    <row r="30" spans="1:49" s="135" customFormat="1" ht="18" customHeight="1">
      <c r="A30" s="121">
        <v>5</v>
      </c>
      <c r="B30" s="200" t="s">
        <v>268</v>
      </c>
      <c r="C30" s="201">
        <v>2</v>
      </c>
      <c r="D30" s="202" t="s">
        <v>233</v>
      </c>
      <c r="E30" s="208">
        <v>9</v>
      </c>
      <c r="F30" s="209"/>
      <c r="G30" s="210"/>
      <c r="H30" s="210"/>
      <c r="I30" s="209"/>
      <c r="J30" s="209"/>
      <c r="K30" s="209"/>
      <c r="L30" s="210"/>
      <c r="M30" s="210"/>
      <c r="N30" s="210"/>
      <c r="O30" s="210"/>
      <c r="P30" s="210"/>
      <c r="Q30" s="210"/>
      <c r="R30" s="210"/>
      <c r="S30" s="210"/>
      <c r="T30" s="210"/>
      <c r="U30" s="210"/>
      <c r="V30" s="210"/>
      <c r="W30" s="210"/>
      <c r="X30" s="211"/>
      <c r="Y30" s="212" t="s">
        <v>231</v>
      </c>
      <c r="Z30" s="213"/>
      <c r="AA30" s="213" t="s">
        <v>233</v>
      </c>
      <c r="AB30" s="213" t="s">
        <v>235</v>
      </c>
      <c r="AC30" s="214"/>
      <c r="AO30" s="138"/>
      <c r="AP30" s="138"/>
      <c r="AQ30" s="138"/>
      <c r="AR30" s="138"/>
      <c r="AS30" s="138"/>
      <c r="AT30" s="138"/>
      <c r="AU30" s="138"/>
      <c r="AV30" s="138"/>
      <c r="AW30" s="138"/>
    </row>
    <row r="31" spans="1:49" s="135" customFormat="1" ht="18" customHeight="1">
      <c r="A31" s="121">
        <v>6</v>
      </c>
      <c r="B31" s="200"/>
      <c r="C31" s="201"/>
      <c r="D31" s="202"/>
      <c r="E31" s="208"/>
      <c r="F31" s="209"/>
      <c r="G31" s="210"/>
      <c r="H31" s="210"/>
      <c r="I31" s="209"/>
      <c r="J31" s="209"/>
      <c r="K31" s="209"/>
      <c r="L31" s="210"/>
      <c r="M31" s="210"/>
      <c r="N31" s="210"/>
      <c r="O31" s="210"/>
      <c r="P31" s="210"/>
      <c r="Q31" s="210"/>
      <c r="R31" s="210"/>
      <c r="S31" s="210"/>
      <c r="T31" s="210"/>
      <c r="U31" s="210"/>
      <c r="V31" s="210"/>
      <c r="W31" s="210"/>
      <c r="X31" s="211"/>
      <c r="Y31" s="212"/>
      <c r="Z31" s="213"/>
      <c r="AA31" s="213"/>
      <c r="AB31" s="213"/>
      <c r="AC31" s="214"/>
      <c r="AO31" s="138"/>
      <c r="AP31" s="138"/>
      <c r="AQ31" s="138"/>
      <c r="AR31" s="138"/>
      <c r="AS31" s="138"/>
      <c r="AT31" s="138"/>
      <c r="AU31" s="138"/>
      <c r="AV31" s="138"/>
      <c r="AW31" s="138"/>
    </row>
    <row r="32" spans="1:49" s="135" customFormat="1" ht="18" customHeight="1">
      <c r="A32" s="121">
        <v>7</v>
      </c>
      <c r="B32" s="200"/>
      <c r="C32" s="201"/>
      <c r="D32" s="202"/>
      <c r="E32" s="208"/>
      <c r="F32" s="209"/>
      <c r="G32" s="210"/>
      <c r="H32" s="210"/>
      <c r="I32" s="209"/>
      <c r="J32" s="209"/>
      <c r="K32" s="209"/>
      <c r="L32" s="210"/>
      <c r="M32" s="210"/>
      <c r="N32" s="210"/>
      <c r="O32" s="210"/>
      <c r="P32" s="210"/>
      <c r="Q32" s="210"/>
      <c r="R32" s="210"/>
      <c r="S32" s="210"/>
      <c r="T32" s="210"/>
      <c r="U32" s="210"/>
      <c r="V32" s="210"/>
      <c r="W32" s="210"/>
      <c r="X32" s="211"/>
      <c r="Y32" s="212"/>
      <c r="Z32" s="213"/>
      <c r="AA32" s="213"/>
      <c r="AB32" s="213"/>
      <c r="AC32" s="214"/>
      <c r="AO32" s="138"/>
      <c r="AP32" s="138"/>
      <c r="AQ32" s="138"/>
      <c r="AR32" s="138"/>
      <c r="AS32" s="138"/>
      <c r="AT32" s="138"/>
      <c r="AU32" s="138"/>
      <c r="AV32" s="138"/>
      <c r="AW32" s="138"/>
    </row>
    <row r="33" spans="1:49" s="135" customFormat="1" ht="18" customHeight="1">
      <c r="A33" s="121">
        <v>8</v>
      </c>
      <c r="B33" s="200"/>
      <c r="C33" s="201"/>
      <c r="D33" s="202"/>
      <c r="E33" s="208"/>
      <c r="F33" s="209"/>
      <c r="G33" s="210"/>
      <c r="H33" s="210"/>
      <c r="I33" s="209"/>
      <c r="J33" s="209"/>
      <c r="K33" s="209"/>
      <c r="L33" s="210"/>
      <c r="M33" s="210"/>
      <c r="N33" s="210"/>
      <c r="O33" s="210"/>
      <c r="P33" s="210"/>
      <c r="Q33" s="210"/>
      <c r="R33" s="210"/>
      <c r="S33" s="210"/>
      <c r="T33" s="210"/>
      <c r="U33" s="210"/>
      <c r="V33" s="210"/>
      <c r="W33" s="210"/>
      <c r="X33" s="211"/>
      <c r="Y33" s="212"/>
      <c r="Z33" s="213"/>
      <c r="AA33" s="213"/>
      <c r="AB33" s="213"/>
      <c r="AC33" s="214"/>
      <c r="AO33" s="138"/>
      <c r="AP33" s="138"/>
      <c r="AQ33" s="138"/>
      <c r="AR33" s="138"/>
      <c r="AS33" s="138"/>
      <c r="AT33" s="138"/>
      <c r="AU33" s="138"/>
      <c r="AV33" s="138"/>
      <c r="AW33" s="138"/>
    </row>
    <row r="34" spans="1:49" s="135" customFormat="1" ht="18" customHeight="1">
      <c r="A34" s="121">
        <v>9</v>
      </c>
      <c r="B34" s="200"/>
      <c r="C34" s="201"/>
      <c r="D34" s="202"/>
      <c r="E34" s="208"/>
      <c r="F34" s="209"/>
      <c r="G34" s="210"/>
      <c r="H34" s="210"/>
      <c r="I34" s="209"/>
      <c r="J34" s="209"/>
      <c r="K34" s="209"/>
      <c r="L34" s="210"/>
      <c r="M34" s="210"/>
      <c r="N34" s="210"/>
      <c r="O34" s="210"/>
      <c r="P34" s="210"/>
      <c r="Q34" s="210"/>
      <c r="R34" s="210"/>
      <c r="S34" s="210"/>
      <c r="T34" s="210"/>
      <c r="U34" s="210"/>
      <c r="V34" s="210"/>
      <c r="W34" s="210"/>
      <c r="X34" s="211"/>
      <c r="Y34" s="212"/>
      <c r="Z34" s="213"/>
      <c r="AA34" s="213"/>
      <c r="AB34" s="213"/>
      <c r="AC34" s="214"/>
      <c r="AO34" s="138"/>
      <c r="AP34" s="138"/>
      <c r="AQ34" s="138"/>
      <c r="AR34" s="138"/>
      <c r="AS34" s="138"/>
      <c r="AT34" s="138"/>
      <c r="AU34" s="138"/>
      <c r="AV34" s="138"/>
      <c r="AW34" s="138"/>
    </row>
    <row r="35" spans="1:49" s="135" customFormat="1" ht="18" customHeight="1">
      <c r="A35" s="121">
        <v>10</v>
      </c>
      <c r="B35" s="200"/>
      <c r="C35" s="201"/>
      <c r="D35" s="202"/>
      <c r="E35" s="208"/>
      <c r="F35" s="209"/>
      <c r="G35" s="210"/>
      <c r="H35" s="210"/>
      <c r="I35" s="209"/>
      <c r="J35" s="209"/>
      <c r="K35" s="209"/>
      <c r="L35" s="210"/>
      <c r="M35" s="210"/>
      <c r="N35" s="210"/>
      <c r="O35" s="210"/>
      <c r="P35" s="210"/>
      <c r="Q35" s="210"/>
      <c r="R35" s="210"/>
      <c r="S35" s="210"/>
      <c r="T35" s="210"/>
      <c r="U35" s="210"/>
      <c r="V35" s="210"/>
      <c r="W35" s="210"/>
      <c r="X35" s="211"/>
      <c r="Y35" s="212"/>
      <c r="Z35" s="213"/>
      <c r="AA35" s="213"/>
      <c r="AB35" s="213"/>
      <c r="AC35" s="214"/>
      <c r="AO35" s="138"/>
      <c r="AP35" s="138"/>
      <c r="AQ35" s="138"/>
      <c r="AR35" s="138"/>
      <c r="AS35" s="138"/>
      <c r="AT35" s="138"/>
      <c r="AU35" s="138"/>
      <c r="AV35" s="138"/>
      <c r="AW35" s="138"/>
    </row>
    <row r="36" spans="1:49" s="135" customFormat="1" ht="18" customHeight="1">
      <c r="A36" s="121">
        <v>11</v>
      </c>
      <c r="B36" s="200"/>
      <c r="C36" s="201"/>
      <c r="D36" s="202"/>
      <c r="E36" s="208"/>
      <c r="F36" s="209"/>
      <c r="G36" s="210"/>
      <c r="H36" s="210"/>
      <c r="I36" s="209"/>
      <c r="J36" s="209"/>
      <c r="K36" s="209"/>
      <c r="L36" s="210"/>
      <c r="M36" s="210"/>
      <c r="N36" s="210"/>
      <c r="O36" s="210"/>
      <c r="P36" s="210"/>
      <c r="Q36" s="210"/>
      <c r="R36" s="210"/>
      <c r="S36" s="210"/>
      <c r="T36" s="210"/>
      <c r="U36" s="210"/>
      <c r="V36" s="210"/>
      <c r="W36" s="210"/>
      <c r="X36" s="211"/>
      <c r="Y36" s="212"/>
      <c r="Z36" s="213"/>
      <c r="AA36" s="213"/>
      <c r="AB36" s="213"/>
      <c r="AC36" s="214"/>
      <c r="AO36" s="138"/>
      <c r="AP36" s="138"/>
      <c r="AQ36" s="138"/>
      <c r="AR36" s="138"/>
      <c r="AS36" s="138"/>
      <c r="AT36" s="138"/>
      <c r="AU36" s="138"/>
      <c r="AV36" s="138"/>
      <c r="AW36" s="138"/>
    </row>
    <row r="37" spans="1:49" s="135" customFormat="1" ht="18" customHeight="1">
      <c r="A37" s="121">
        <v>12</v>
      </c>
      <c r="B37" s="200"/>
      <c r="C37" s="201"/>
      <c r="D37" s="202"/>
      <c r="E37" s="208"/>
      <c r="F37" s="209"/>
      <c r="G37" s="210"/>
      <c r="H37" s="210"/>
      <c r="I37" s="209"/>
      <c r="J37" s="209"/>
      <c r="K37" s="209"/>
      <c r="L37" s="210"/>
      <c r="M37" s="210"/>
      <c r="N37" s="210"/>
      <c r="O37" s="210"/>
      <c r="P37" s="210"/>
      <c r="Q37" s="210"/>
      <c r="R37" s="210"/>
      <c r="S37" s="210"/>
      <c r="T37" s="210"/>
      <c r="U37" s="210"/>
      <c r="V37" s="210"/>
      <c r="W37" s="210"/>
      <c r="X37" s="211"/>
      <c r="Y37" s="212"/>
      <c r="Z37" s="213"/>
      <c r="AA37" s="213"/>
      <c r="AB37" s="213"/>
      <c r="AC37" s="214"/>
      <c r="AO37" s="138"/>
      <c r="AP37" s="138"/>
      <c r="AQ37" s="138"/>
      <c r="AR37" s="138"/>
      <c r="AS37" s="138"/>
      <c r="AT37" s="138"/>
      <c r="AU37" s="138"/>
      <c r="AV37" s="138"/>
      <c r="AW37" s="138"/>
    </row>
    <row r="38" spans="1:49" s="135" customFormat="1" ht="18" customHeight="1">
      <c r="A38" s="121">
        <v>13</v>
      </c>
      <c r="B38" s="200"/>
      <c r="C38" s="201"/>
      <c r="D38" s="202"/>
      <c r="E38" s="208"/>
      <c r="F38" s="209"/>
      <c r="G38" s="210"/>
      <c r="H38" s="210"/>
      <c r="I38" s="209"/>
      <c r="J38" s="209"/>
      <c r="K38" s="209"/>
      <c r="L38" s="210"/>
      <c r="M38" s="210"/>
      <c r="N38" s="210"/>
      <c r="O38" s="210"/>
      <c r="P38" s="210"/>
      <c r="Q38" s="210"/>
      <c r="R38" s="210"/>
      <c r="S38" s="210"/>
      <c r="T38" s="210"/>
      <c r="U38" s="210"/>
      <c r="V38" s="210"/>
      <c r="W38" s="210"/>
      <c r="X38" s="211"/>
      <c r="Y38" s="212"/>
      <c r="Z38" s="213"/>
      <c r="AA38" s="213"/>
      <c r="AB38" s="213"/>
      <c r="AC38" s="214"/>
      <c r="AO38" s="138"/>
      <c r="AP38" s="138"/>
      <c r="AQ38" s="138"/>
      <c r="AR38" s="138"/>
      <c r="AS38" s="138"/>
      <c r="AT38" s="138"/>
      <c r="AU38" s="138"/>
      <c r="AV38" s="138"/>
      <c r="AW38" s="138"/>
    </row>
    <row r="39" spans="1:49" s="135" customFormat="1" ht="18" customHeight="1">
      <c r="A39" s="121">
        <v>14</v>
      </c>
      <c r="B39" s="200"/>
      <c r="C39" s="201"/>
      <c r="D39" s="202"/>
      <c r="E39" s="208"/>
      <c r="F39" s="209"/>
      <c r="G39" s="210"/>
      <c r="H39" s="210"/>
      <c r="I39" s="209"/>
      <c r="J39" s="209"/>
      <c r="K39" s="209"/>
      <c r="L39" s="210"/>
      <c r="M39" s="210"/>
      <c r="N39" s="210"/>
      <c r="O39" s="210"/>
      <c r="P39" s="210"/>
      <c r="Q39" s="210"/>
      <c r="R39" s="210"/>
      <c r="S39" s="210"/>
      <c r="T39" s="210"/>
      <c r="U39" s="210"/>
      <c r="V39" s="210"/>
      <c r="W39" s="210"/>
      <c r="X39" s="211"/>
      <c r="Y39" s="212"/>
      <c r="Z39" s="213"/>
      <c r="AA39" s="213"/>
      <c r="AB39" s="213"/>
      <c r="AC39" s="214"/>
      <c r="AO39" s="138"/>
      <c r="AP39" s="138"/>
      <c r="AQ39" s="138"/>
      <c r="AR39" s="138"/>
      <c r="AS39" s="138"/>
      <c r="AT39" s="138"/>
      <c r="AU39" s="138"/>
      <c r="AV39" s="138"/>
      <c r="AW39" s="138"/>
    </row>
    <row r="40" spans="1:49" s="135" customFormat="1" ht="18" customHeight="1" thickBot="1">
      <c r="A40" s="121">
        <v>15</v>
      </c>
      <c r="B40" s="215"/>
      <c r="C40" s="216"/>
      <c r="D40" s="217"/>
      <c r="E40" s="218"/>
      <c r="F40" s="219"/>
      <c r="G40" s="220"/>
      <c r="H40" s="220"/>
      <c r="I40" s="219"/>
      <c r="J40" s="219"/>
      <c r="K40" s="219"/>
      <c r="L40" s="220"/>
      <c r="M40" s="220"/>
      <c r="N40" s="220"/>
      <c r="O40" s="220"/>
      <c r="P40" s="220"/>
      <c r="Q40" s="220"/>
      <c r="R40" s="220"/>
      <c r="S40" s="220"/>
      <c r="T40" s="220"/>
      <c r="U40" s="220"/>
      <c r="V40" s="220"/>
      <c r="W40" s="220"/>
      <c r="X40" s="221"/>
      <c r="Y40" s="222"/>
      <c r="Z40" s="223"/>
      <c r="AA40" s="223"/>
      <c r="AB40" s="223"/>
      <c r="AC40" s="224"/>
      <c r="AO40" s="138"/>
      <c r="AP40" s="138"/>
      <c r="AQ40" s="138"/>
      <c r="AR40" s="138"/>
      <c r="AS40" s="138"/>
      <c r="AT40" s="138"/>
      <c r="AU40" s="138"/>
      <c r="AV40" s="138"/>
      <c r="AW40" s="138"/>
    </row>
    <row r="41" spans="1:49" ht="29.25" customHeight="1">
      <c r="C41" s="225" t="s">
        <v>245</v>
      </c>
      <c r="D41" s="226"/>
      <c r="E41" s="227">
        <f t="shared" ref="E41:X41" si="0">IF(SUMPRODUCT($C26:$C40,E26:E40)=0,"",SUMPRODUCT($C26:$C40,E26:E40))</f>
        <v>18</v>
      </c>
      <c r="F41" s="273">
        <f t="shared" si="0"/>
        <v>108</v>
      </c>
      <c r="G41" s="227">
        <f t="shared" si="0"/>
        <v>66</v>
      </c>
      <c r="H41" s="227">
        <f t="shared" si="0"/>
        <v>10</v>
      </c>
      <c r="I41" s="273">
        <f t="shared" si="0"/>
        <v>153</v>
      </c>
      <c r="J41" s="227">
        <f t="shared" si="0"/>
        <v>30</v>
      </c>
      <c r="K41" s="273">
        <f t="shared" si="0"/>
        <v>153</v>
      </c>
      <c r="L41" s="227" t="str">
        <f t="shared" si="0"/>
        <v/>
      </c>
      <c r="M41" s="227" t="str">
        <f t="shared" si="0"/>
        <v/>
      </c>
      <c r="N41" s="227" t="str">
        <f t="shared" si="0"/>
        <v/>
      </c>
      <c r="O41" s="227" t="str">
        <f t="shared" si="0"/>
        <v/>
      </c>
      <c r="P41" s="227" t="str">
        <f t="shared" si="0"/>
        <v/>
      </c>
      <c r="Q41" s="227" t="str">
        <f t="shared" si="0"/>
        <v/>
      </c>
      <c r="R41" s="227" t="str">
        <f t="shared" si="0"/>
        <v/>
      </c>
      <c r="S41" s="227" t="str">
        <f t="shared" si="0"/>
        <v/>
      </c>
      <c r="T41" s="227" t="str">
        <f t="shared" si="0"/>
        <v/>
      </c>
      <c r="U41" s="227" t="str">
        <f t="shared" si="0"/>
        <v/>
      </c>
      <c r="V41" s="227" t="str">
        <f t="shared" si="0"/>
        <v/>
      </c>
      <c r="W41" s="227" t="str">
        <f t="shared" si="0"/>
        <v/>
      </c>
      <c r="X41" s="228" t="str">
        <f t="shared" si="0"/>
        <v/>
      </c>
    </row>
    <row r="42" spans="1:49" ht="39.950000000000003" customHeight="1">
      <c r="C42" s="225" t="s">
        <v>246</v>
      </c>
      <c r="D42" s="226"/>
      <c r="E42" s="229">
        <f t="shared" ref="E42:X42" si="1">IF(SUMPRODUCT($C26:$C40,E26:E40)=0,"",E41/MAX($E41:$X41))</f>
        <v>0.11764705882352941</v>
      </c>
      <c r="F42" s="229">
        <f t="shared" si="1"/>
        <v>0.70588235294117652</v>
      </c>
      <c r="G42" s="229">
        <f t="shared" si="1"/>
        <v>0.43137254901960786</v>
      </c>
      <c r="H42" s="229">
        <f t="shared" si="1"/>
        <v>6.535947712418301E-2</v>
      </c>
      <c r="I42" s="229">
        <f t="shared" si="1"/>
        <v>1</v>
      </c>
      <c r="J42" s="229">
        <f t="shared" si="1"/>
        <v>0.19607843137254902</v>
      </c>
      <c r="K42" s="229">
        <f t="shared" si="1"/>
        <v>1</v>
      </c>
      <c r="L42" s="229" t="str">
        <f t="shared" si="1"/>
        <v/>
      </c>
      <c r="M42" s="229" t="str">
        <f t="shared" si="1"/>
        <v/>
      </c>
      <c r="N42" s="229" t="str">
        <f t="shared" si="1"/>
        <v/>
      </c>
      <c r="O42" s="229" t="str">
        <f t="shared" si="1"/>
        <v/>
      </c>
      <c r="P42" s="229" t="str">
        <f t="shared" si="1"/>
        <v/>
      </c>
      <c r="Q42" s="229" t="str">
        <f t="shared" si="1"/>
        <v/>
      </c>
      <c r="R42" s="229" t="str">
        <f t="shared" si="1"/>
        <v/>
      </c>
      <c r="S42" s="229" t="str">
        <f t="shared" si="1"/>
        <v/>
      </c>
      <c r="T42" s="229" t="str">
        <f t="shared" si="1"/>
        <v/>
      </c>
      <c r="U42" s="229" t="str">
        <f t="shared" si="1"/>
        <v/>
      </c>
      <c r="V42" s="229" t="str">
        <f t="shared" si="1"/>
        <v/>
      </c>
      <c r="W42" s="229" t="str">
        <f t="shared" si="1"/>
        <v/>
      </c>
      <c r="X42" s="230" t="str">
        <f t="shared" si="1"/>
        <v/>
      </c>
    </row>
    <row r="43" spans="1:49" ht="39.950000000000003" customHeight="1">
      <c r="C43" s="231" t="s">
        <v>247</v>
      </c>
      <c r="D43" s="232"/>
      <c r="E43" s="233">
        <f t="shared" ref="E43:X43" si="2">IF(SUMPRODUCT($C26:$C40,E26:E40)=0,"",E42/SUM($E42:$X42))</f>
        <v>3.3457249070631967E-2</v>
      </c>
      <c r="F43" s="233">
        <f t="shared" si="2"/>
        <v>0.20074349442379183</v>
      </c>
      <c r="G43" s="233">
        <f t="shared" si="2"/>
        <v>0.12267657992565056</v>
      </c>
      <c r="H43" s="233">
        <f t="shared" si="2"/>
        <v>1.858736059479554E-2</v>
      </c>
      <c r="I43" s="233">
        <f t="shared" si="2"/>
        <v>0.28438661710037177</v>
      </c>
      <c r="J43" s="233">
        <f t="shared" si="2"/>
        <v>5.5762081784386616E-2</v>
      </c>
      <c r="K43" s="233">
        <f t="shared" si="2"/>
        <v>0.28438661710037177</v>
      </c>
      <c r="L43" s="233" t="str">
        <f t="shared" si="2"/>
        <v/>
      </c>
      <c r="M43" s="233" t="str">
        <f t="shared" si="2"/>
        <v/>
      </c>
      <c r="N43" s="233" t="str">
        <f t="shared" si="2"/>
        <v/>
      </c>
      <c r="O43" s="233" t="str">
        <f t="shared" si="2"/>
        <v/>
      </c>
      <c r="P43" s="233" t="str">
        <f t="shared" si="2"/>
        <v/>
      </c>
      <c r="Q43" s="233" t="str">
        <f t="shared" si="2"/>
        <v/>
      </c>
      <c r="R43" s="233" t="str">
        <f t="shared" si="2"/>
        <v/>
      </c>
      <c r="S43" s="233" t="str">
        <f t="shared" si="2"/>
        <v/>
      </c>
      <c r="T43" s="233" t="str">
        <f t="shared" si="2"/>
        <v/>
      </c>
      <c r="U43" s="233" t="str">
        <f t="shared" si="2"/>
        <v/>
      </c>
      <c r="V43" s="233" t="str">
        <f t="shared" si="2"/>
        <v/>
      </c>
      <c r="W43" s="233" t="str">
        <f t="shared" si="2"/>
        <v/>
      </c>
      <c r="X43" s="234" t="str">
        <f t="shared" si="2"/>
        <v/>
      </c>
    </row>
    <row r="44" spans="1:49" ht="27.75" customHeight="1" thickBot="1">
      <c r="C44" s="235" t="s">
        <v>248</v>
      </c>
      <c r="D44" s="236"/>
      <c r="E44" s="237">
        <f t="shared" ref="E44:X44" si="3">IF(SUMPRODUCT($C26:$C40,E26:E40)=0,"",RANK(E43,$E$43:$X$43))</f>
        <v>6</v>
      </c>
      <c r="F44" s="237">
        <f t="shared" si="3"/>
        <v>3</v>
      </c>
      <c r="G44" s="237">
        <f t="shared" si="3"/>
        <v>4</v>
      </c>
      <c r="H44" s="237">
        <f t="shared" si="3"/>
        <v>7</v>
      </c>
      <c r="I44" s="237">
        <f t="shared" si="3"/>
        <v>1</v>
      </c>
      <c r="J44" s="237">
        <f t="shared" si="3"/>
        <v>5</v>
      </c>
      <c r="K44" s="237">
        <f t="shared" si="3"/>
        <v>1</v>
      </c>
      <c r="L44" s="237" t="str">
        <f t="shared" si="3"/>
        <v/>
      </c>
      <c r="M44" s="237" t="str">
        <f t="shared" si="3"/>
        <v/>
      </c>
      <c r="N44" s="237" t="str">
        <f t="shared" si="3"/>
        <v/>
      </c>
      <c r="O44" s="237" t="str">
        <f t="shared" si="3"/>
        <v/>
      </c>
      <c r="P44" s="237" t="str">
        <f t="shared" si="3"/>
        <v/>
      </c>
      <c r="Q44" s="237" t="str">
        <f t="shared" si="3"/>
        <v/>
      </c>
      <c r="R44" s="237" t="str">
        <f t="shared" si="3"/>
        <v/>
      </c>
      <c r="S44" s="237" t="str">
        <f t="shared" si="3"/>
        <v/>
      </c>
      <c r="T44" s="237" t="str">
        <f t="shared" si="3"/>
        <v/>
      </c>
      <c r="U44" s="237" t="str">
        <f t="shared" si="3"/>
        <v/>
      </c>
      <c r="V44" s="237" t="str">
        <f t="shared" si="3"/>
        <v/>
      </c>
      <c r="W44" s="237" t="str">
        <f t="shared" si="3"/>
        <v/>
      </c>
      <c r="X44" s="238" t="str">
        <f t="shared" si="3"/>
        <v/>
      </c>
    </row>
    <row r="45" spans="1:49" s="135" customFormat="1" ht="24.75" customHeight="1">
      <c r="A45" s="121"/>
      <c r="B45" s="673" t="s">
        <v>249</v>
      </c>
      <c r="C45" s="239" t="s">
        <v>250</v>
      </c>
      <c r="D45" s="240"/>
      <c r="E45" s="241" t="s">
        <v>272</v>
      </c>
      <c r="F45" s="242" t="s">
        <v>275</v>
      </c>
      <c r="G45" s="242"/>
      <c r="H45" s="241"/>
      <c r="I45" s="241"/>
      <c r="J45" s="241"/>
      <c r="K45" s="242"/>
      <c r="L45" s="241"/>
      <c r="M45" s="241"/>
      <c r="N45" s="241"/>
      <c r="O45" s="241"/>
      <c r="P45" s="241"/>
      <c r="Q45" s="241"/>
      <c r="R45" s="241"/>
      <c r="S45" s="241"/>
      <c r="T45" s="241"/>
      <c r="U45" s="241"/>
      <c r="V45" s="241"/>
      <c r="W45" s="241"/>
      <c r="X45" s="243"/>
      <c r="AO45" s="138"/>
      <c r="AP45" s="138"/>
      <c r="AQ45" s="138"/>
      <c r="AR45" s="138"/>
      <c r="AS45" s="138"/>
      <c r="AT45" s="138"/>
      <c r="AU45" s="138"/>
      <c r="AV45" s="138"/>
      <c r="AW45" s="138"/>
    </row>
    <row r="46" spans="1:49" s="135" customFormat="1" ht="24.75" customHeight="1">
      <c r="A46" s="121"/>
      <c r="B46" s="674"/>
      <c r="C46" s="244" t="s">
        <v>251</v>
      </c>
      <c r="D46" s="245"/>
      <c r="E46" s="246" t="s">
        <v>273</v>
      </c>
      <c r="F46" s="247" t="s">
        <v>276</v>
      </c>
      <c r="G46" s="247"/>
      <c r="H46" s="246"/>
      <c r="I46" s="246"/>
      <c r="J46" s="246"/>
      <c r="K46" s="247"/>
      <c r="L46" s="246"/>
      <c r="M46" s="246"/>
      <c r="N46" s="246"/>
      <c r="O46" s="246"/>
      <c r="P46" s="246"/>
      <c r="Q46" s="246"/>
      <c r="R46" s="246"/>
      <c r="S46" s="246"/>
      <c r="T46" s="246"/>
      <c r="U46" s="246"/>
      <c r="V46" s="246"/>
      <c r="W46" s="246"/>
      <c r="X46" s="248"/>
      <c r="Y46" s="249"/>
      <c r="AO46" s="138"/>
      <c r="AP46" s="138"/>
      <c r="AQ46" s="138"/>
      <c r="AR46" s="138"/>
      <c r="AS46" s="138"/>
      <c r="AT46" s="138"/>
      <c r="AU46" s="138"/>
      <c r="AV46" s="138"/>
      <c r="AW46" s="138"/>
    </row>
    <row r="47" spans="1:49" s="135" customFormat="1" ht="24.75" customHeight="1" thickBot="1">
      <c r="A47" s="121"/>
      <c r="B47" s="675"/>
      <c r="C47" s="250" t="s">
        <v>252</v>
      </c>
      <c r="D47" s="251"/>
      <c r="E47" s="252" t="s">
        <v>274</v>
      </c>
      <c r="F47" s="252" t="s">
        <v>277</v>
      </c>
      <c r="G47" s="253"/>
      <c r="H47" s="252"/>
      <c r="I47" s="252"/>
      <c r="J47" s="252"/>
      <c r="K47" s="253"/>
      <c r="L47" s="252"/>
      <c r="M47" s="252"/>
      <c r="N47" s="252"/>
      <c r="O47" s="252"/>
      <c r="P47" s="252"/>
      <c r="Q47" s="252"/>
      <c r="R47" s="252"/>
      <c r="S47" s="252"/>
      <c r="T47" s="252"/>
      <c r="U47" s="252"/>
      <c r="V47" s="252"/>
      <c r="W47" s="252"/>
      <c r="X47" s="254"/>
      <c r="Y47" s="249"/>
      <c r="AO47" s="138"/>
      <c r="AP47" s="138"/>
      <c r="AQ47" s="138"/>
      <c r="AR47" s="138"/>
      <c r="AS47" s="138"/>
      <c r="AT47" s="138"/>
      <c r="AU47" s="138"/>
      <c r="AV47" s="138"/>
      <c r="AW47" s="138"/>
    </row>
    <row r="48" spans="1:49" s="135" customFormat="1" ht="20.25" customHeight="1" thickBot="1">
      <c r="A48" s="121"/>
      <c r="B48" s="255"/>
      <c r="C48" s="256" t="s">
        <v>253</v>
      </c>
      <c r="D48" s="257"/>
      <c r="E48" s="258" t="s">
        <v>233</v>
      </c>
      <c r="F48" s="258" t="s">
        <v>260</v>
      </c>
      <c r="G48" s="259"/>
      <c r="H48" s="258"/>
      <c r="I48" s="258"/>
      <c r="J48" s="258"/>
      <c r="K48" s="259"/>
      <c r="L48" s="258"/>
      <c r="M48" s="258"/>
      <c r="N48" s="258"/>
      <c r="O48" s="258"/>
      <c r="P48" s="258"/>
      <c r="Q48" s="258"/>
      <c r="R48" s="258"/>
      <c r="S48" s="258"/>
      <c r="T48" s="258"/>
      <c r="U48" s="258"/>
      <c r="V48" s="258"/>
      <c r="W48" s="258"/>
      <c r="X48" s="260"/>
      <c r="Y48" s="249"/>
      <c r="AO48" s="138"/>
      <c r="AP48" s="138"/>
      <c r="AQ48" s="138"/>
      <c r="AR48" s="138"/>
      <c r="AS48" s="138"/>
      <c r="AT48" s="138"/>
      <c r="AU48" s="138"/>
      <c r="AV48" s="138"/>
      <c r="AW48" s="138"/>
    </row>
    <row r="49" spans="2:25" ht="20.25" customHeight="1" thickBot="1">
      <c r="B49" s="112"/>
      <c r="C49" s="261" t="s">
        <v>254</v>
      </c>
      <c r="D49" s="262"/>
      <c r="E49" s="263"/>
      <c r="F49" s="263"/>
      <c r="G49" s="263"/>
      <c r="H49" s="263"/>
      <c r="I49" s="263"/>
      <c r="J49" s="263"/>
      <c r="K49" s="263"/>
      <c r="L49" s="263"/>
      <c r="M49" s="263"/>
      <c r="N49" s="263"/>
      <c r="O49" s="263"/>
      <c r="P49" s="263"/>
      <c r="Q49" s="263"/>
      <c r="R49" s="263"/>
      <c r="S49" s="263"/>
      <c r="T49" s="263"/>
      <c r="U49" s="263"/>
      <c r="V49" s="263"/>
      <c r="W49" s="263"/>
      <c r="X49" s="264"/>
    </row>
    <row r="50" spans="2:25" ht="59.25" customHeight="1" thickBot="1">
      <c r="B50" s="668" t="s">
        <v>255</v>
      </c>
      <c r="C50" s="669"/>
      <c r="D50" s="265"/>
      <c r="E50" s="266"/>
      <c r="F50" s="266" t="s">
        <v>281</v>
      </c>
      <c r="G50" s="266"/>
      <c r="H50" s="266"/>
      <c r="I50" s="266"/>
      <c r="J50" s="266"/>
      <c r="K50" s="266"/>
      <c r="L50" s="266"/>
      <c r="M50" s="266"/>
      <c r="N50" s="266"/>
      <c r="O50" s="266"/>
      <c r="P50" s="266"/>
      <c r="Q50" s="266"/>
      <c r="R50" s="266"/>
      <c r="S50" s="266"/>
      <c r="T50" s="266"/>
      <c r="U50" s="266"/>
      <c r="V50" s="266"/>
      <c r="W50" s="266"/>
      <c r="X50" s="267"/>
    </row>
    <row r="51" spans="2:25" ht="48" customHeight="1" thickBot="1">
      <c r="B51" s="668" t="s">
        <v>278</v>
      </c>
      <c r="C51" s="669"/>
      <c r="D51" s="257"/>
      <c r="E51" s="268"/>
      <c r="F51" s="269">
        <v>1</v>
      </c>
      <c r="G51" s="269"/>
      <c r="H51" s="269"/>
      <c r="I51" s="269"/>
      <c r="J51" s="269"/>
      <c r="K51" s="269"/>
      <c r="L51" s="269"/>
      <c r="M51" s="269"/>
      <c r="N51" s="269"/>
      <c r="O51" s="258"/>
      <c r="P51" s="258"/>
      <c r="Q51" s="258"/>
      <c r="R51" s="258"/>
      <c r="S51" s="258"/>
      <c r="T51" s="258"/>
      <c r="U51" s="258"/>
      <c r="V51" s="258"/>
      <c r="W51" s="258"/>
      <c r="X51" s="270"/>
      <c r="Y51" s="271"/>
    </row>
    <row r="52" spans="2:25" ht="48" customHeight="1" thickBot="1">
      <c r="B52" s="668" t="s">
        <v>279</v>
      </c>
      <c r="C52" s="669"/>
      <c r="D52" s="257"/>
      <c r="E52" s="268"/>
      <c r="F52" s="269">
        <v>1.1000000000000001</v>
      </c>
      <c r="G52" s="269"/>
      <c r="H52" s="269"/>
      <c r="I52" s="269"/>
      <c r="J52" s="269"/>
      <c r="K52" s="269"/>
      <c r="L52" s="269"/>
      <c r="M52" s="269"/>
      <c r="N52" s="269"/>
      <c r="O52" s="258"/>
      <c r="P52" s="258"/>
      <c r="Q52" s="258"/>
      <c r="R52" s="258"/>
      <c r="S52" s="258"/>
      <c r="T52" s="258"/>
      <c r="U52" s="258"/>
      <c r="V52" s="258"/>
      <c r="W52" s="258"/>
      <c r="X52" s="270"/>
      <c r="Y52" s="271"/>
    </row>
    <row r="53" spans="2:25" ht="48" customHeight="1" thickBot="1">
      <c r="B53" s="668" t="s">
        <v>280</v>
      </c>
      <c r="C53" s="669"/>
      <c r="D53" s="257"/>
      <c r="E53" s="268"/>
      <c r="F53" s="269">
        <v>0.9</v>
      </c>
      <c r="G53" s="269"/>
      <c r="H53" s="269"/>
      <c r="I53" s="269"/>
      <c r="J53" s="269"/>
      <c r="K53" s="269"/>
      <c r="L53" s="269"/>
      <c r="M53" s="269"/>
      <c r="N53" s="269"/>
      <c r="O53" s="258"/>
      <c r="P53" s="258"/>
      <c r="Q53" s="258"/>
      <c r="R53" s="258"/>
      <c r="S53" s="258"/>
      <c r="T53" s="258"/>
      <c r="U53" s="258"/>
      <c r="V53" s="258"/>
      <c r="W53" s="258"/>
      <c r="X53" s="270"/>
      <c r="Y53" s="271"/>
    </row>
    <row r="54" spans="2:25">
      <c r="B54" s="272"/>
    </row>
    <row r="87" spans="2:29">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row>
    <row r="88" spans="2:29">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row>
    <row r="89" spans="2:29">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row>
    <row r="90" spans="2:29">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row>
    <row r="91" spans="2:29">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row>
    <row r="92" spans="2:29">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row>
    <row r="93" spans="2:29">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row>
    <row r="94" spans="2:29">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row>
    <row r="95" spans="2:29">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row>
    <row r="96" spans="2:29">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row>
    <row r="97" spans="2:29">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row>
    <row r="98" spans="2:29">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c r="AC98" s="110"/>
    </row>
    <row r="99" spans="2:29">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row>
    <row r="100" spans="2:29">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row>
    <row r="101" spans="2:29">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row>
    <row r="102" spans="2:29">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c r="AB102" s="110"/>
      <c r="AC102" s="110"/>
    </row>
    <row r="103" spans="2:29">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row>
    <row r="104" spans="2:29">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row>
    <row r="105" spans="2:29">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row>
    <row r="106" spans="2:29">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c r="AB106" s="110"/>
      <c r="AC106" s="110"/>
    </row>
    <row r="107" spans="2:29">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row>
    <row r="108" spans="2:29">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row>
    <row r="109" spans="2:29">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c r="AC109" s="110"/>
    </row>
    <row r="110" spans="2:29">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row>
    <row r="111" spans="2:29">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row>
    <row r="112" spans="2:29">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c r="AC112" s="110"/>
    </row>
    <row r="113" spans="2:29">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row>
    <row r="114" spans="2:29">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row>
    <row r="115" spans="2:29">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row>
    <row r="116" spans="2:29">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row>
    <row r="117" spans="2:29">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row>
    <row r="118" spans="2:29">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row>
    <row r="119" spans="2:29">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row>
    <row r="120" spans="2:29">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c r="AC120" s="110"/>
    </row>
    <row r="121" spans="2:29">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row>
    <row r="122" spans="2:29">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c r="AC122" s="110"/>
    </row>
    <row r="123" spans="2:29">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row>
    <row r="124" spans="2:29">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c r="AB124" s="110"/>
      <c r="AC124" s="110"/>
    </row>
    <row r="125" spans="2:29">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row>
    <row r="126" spans="2:29">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row>
    <row r="127" spans="2:29">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row>
    <row r="128" spans="2:29">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c r="AC128" s="110"/>
    </row>
    <row r="129" spans="2:29">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row>
    <row r="130" spans="2:29">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row>
    <row r="131" spans="2:29">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c r="AC131" s="110"/>
    </row>
    <row r="132" spans="2:29">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c r="AB132" s="110"/>
      <c r="AC132" s="110"/>
    </row>
    <row r="133" spans="2:29">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row>
    <row r="134" spans="2:29">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c r="AB134" s="110"/>
      <c r="AC134" s="110"/>
    </row>
    <row r="135" spans="2:29">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row>
    <row r="136" spans="2:29">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c r="AB136" s="110"/>
      <c r="AC136" s="110"/>
    </row>
    <row r="137" spans="2:29">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row>
    <row r="138" spans="2:29">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row>
    <row r="139" spans="2:29">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row>
    <row r="140" spans="2:29">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c r="AC140" s="110"/>
    </row>
    <row r="141" spans="2:29">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row>
    <row r="142" spans="2:29">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c r="AC142" s="110"/>
    </row>
    <row r="143" spans="2:29">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c r="AC143" s="110"/>
    </row>
    <row r="144" spans="2:29">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row>
    <row r="145" spans="2:29">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row>
    <row r="146" spans="2:29">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c r="AC146" s="110"/>
    </row>
    <row r="147" spans="2:29">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row>
    <row r="148" spans="2:29">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c r="AB148" s="110"/>
      <c r="AC148" s="110"/>
    </row>
    <row r="149" spans="2:29">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row>
    <row r="150" spans="2:29">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row>
    <row r="151" spans="2:29">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row>
    <row r="152" spans="2:29">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c r="AC152" s="110"/>
    </row>
    <row r="153" spans="2:29">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row>
    <row r="154" spans="2:29">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c r="AC154" s="110"/>
    </row>
    <row r="155" spans="2:29">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row>
    <row r="156" spans="2:29">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row>
    <row r="157" spans="2:29">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row>
    <row r="158" spans="2:29">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c r="AB158" s="110"/>
      <c r="AC158" s="110"/>
    </row>
    <row r="159" spans="2:29">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row>
  </sheetData>
  <mergeCells count="6">
    <mergeCell ref="B53:C53"/>
    <mergeCell ref="Z19:AC19"/>
    <mergeCell ref="B45:B47"/>
    <mergeCell ref="B50:C50"/>
    <mergeCell ref="B51:C51"/>
    <mergeCell ref="B52:C52"/>
  </mergeCells>
  <hyperlinks>
    <hyperlink ref="AE6" r:id="rId1"/>
    <hyperlink ref="AE4" r:id="rId2"/>
    <hyperlink ref="AE5" r:id="rId3"/>
  </hyperlinks>
  <pageMargins left="0.7" right="0.7" top="0.75" bottom="0.75" header="0.3" footer="0.3"/>
  <drawing r:id="rId4"/>
  <legacy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workbookViewId="0">
      <selection activeCell="Y18" sqref="Y18"/>
    </sheetView>
  </sheetViews>
  <sheetFormatPr defaultRowHeight="15"/>
  <cols>
    <col min="1" max="1" width="32.7109375" style="275" customWidth="1"/>
    <col min="2" max="3" width="4.7109375" style="276" customWidth="1"/>
    <col min="4" max="4" width="4.7109375" style="277" customWidth="1"/>
    <col min="5" max="5" width="4.7109375" style="276" customWidth="1"/>
    <col min="6" max="6" width="4.7109375" style="278" customWidth="1"/>
    <col min="7" max="21" width="4.7109375" customWidth="1"/>
    <col min="257" max="257" width="32.7109375" customWidth="1"/>
    <col min="258" max="277" width="4.7109375" customWidth="1"/>
    <col min="513" max="513" width="32.7109375" customWidth="1"/>
    <col min="514" max="533" width="4.7109375" customWidth="1"/>
    <col min="769" max="769" width="32.7109375" customWidth="1"/>
    <col min="770" max="789" width="4.7109375" customWidth="1"/>
    <col min="1025" max="1025" width="32.7109375" customWidth="1"/>
    <col min="1026" max="1045" width="4.7109375" customWidth="1"/>
    <col min="1281" max="1281" width="32.7109375" customWidth="1"/>
    <col min="1282" max="1301" width="4.7109375" customWidth="1"/>
    <col min="1537" max="1537" width="32.7109375" customWidth="1"/>
    <col min="1538" max="1557" width="4.7109375" customWidth="1"/>
    <col min="1793" max="1793" width="32.7109375" customWidth="1"/>
    <col min="1794" max="1813" width="4.7109375" customWidth="1"/>
    <col min="2049" max="2049" width="32.7109375" customWidth="1"/>
    <col min="2050" max="2069" width="4.7109375" customWidth="1"/>
    <col min="2305" max="2305" width="32.7109375" customWidth="1"/>
    <col min="2306" max="2325" width="4.7109375" customWidth="1"/>
    <col min="2561" max="2561" width="32.7109375" customWidth="1"/>
    <col min="2562" max="2581" width="4.7109375" customWidth="1"/>
    <col min="2817" max="2817" width="32.7109375" customWidth="1"/>
    <col min="2818" max="2837" width="4.7109375" customWidth="1"/>
    <col min="3073" max="3073" width="32.7109375" customWidth="1"/>
    <col min="3074" max="3093" width="4.7109375" customWidth="1"/>
    <col min="3329" max="3329" width="32.7109375" customWidth="1"/>
    <col min="3330" max="3349" width="4.7109375" customWidth="1"/>
    <col min="3585" max="3585" width="32.7109375" customWidth="1"/>
    <col min="3586" max="3605" width="4.7109375" customWidth="1"/>
    <col min="3841" max="3841" width="32.7109375" customWidth="1"/>
    <col min="3842" max="3861" width="4.7109375" customWidth="1"/>
    <col min="4097" max="4097" width="32.7109375" customWidth="1"/>
    <col min="4098" max="4117" width="4.7109375" customWidth="1"/>
    <col min="4353" max="4353" width="32.7109375" customWidth="1"/>
    <col min="4354" max="4373" width="4.7109375" customWidth="1"/>
    <col min="4609" max="4609" width="32.7109375" customWidth="1"/>
    <col min="4610" max="4629" width="4.7109375" customWidth="1"/>
    <col min="4865" max="4865" width="32.7109375" customWidth="1"/>
    <col min="4866" max="4885" width="4.7109375" customWidth="1"/>
    <col min="5121" max="5121" width="32.7109375" customWidth="1"/>
    <col min="5122" max="5141" width="4.7109375" customWidth="1"/>
    <col min="5377" max="5377" width="32.7109375" customWidth="1"/>
    <col min="5378" max="5397" width="4.7109375" customWidth="1"/>
    <col min="5633" max="5633" width="32.7109375" customWidth="1"/>
    <col min="5634" max="5653" width="4.7109375" customWidth="1"/>
    <col min="5889" max="5889" width="32.7109375" customWidth="1"/>
    <col min="5890" max="5909" width="4.7109375" customWidth="1"/>
    <col min="6145" max="6145" width="32.7109375" customWidth="1"/>
    <col min="6146" max="6165" width="4.7109375" customWidth="1"/>
    <col min="6401" max="6401" width="32.7109375" customWidth="1"/>
    <col min="6402" max="6421" width="4.7109375" customWidth="1"/>
    <col min="6657" max="6657" width="32.7109375" customWidth="1"/>
    <col min="6658" max="6677" width="4.7109375" customWidth="1"/>
    <col min="6913" max="6913" width="32.7109375" customWidth="1"/>
    <col min="6914" max="6933" width="4.7109375" customWidth="1"/>
    <col min="7169" max="7169" width="32.7109375" customWidth="1"/>
    <col min="7170" max="7189" width="4.7109375" customWidth="1"/>
    <col min="7425" max="7425" width="32.7109375" customWidth="1"/>
    <col min="7426" max="7445" width="4.7109375" customWidth="1"/>
    <col min="7681" max="7681" width="32.7109375" customWidth="1"/>
    <col min="7682" max="7701" width="4.7109375" customWidth="1"/>
    <col min="7937" max="7937" width="32.7109375" customWidth="1"/>
    <col min="7938" max="7957" width="4.7109375" customWidth="1"/>
    <col min="8193" max="8193" width="32.7109375" customWidth="1"/>
    <col min="8194" max="8213" width="4.7109375" customWidth="1"/>
    <col min="8449" max="8449" width="32.7109375" customWidth="1"/>
    <col min="8450" max="8469" width="4.7109375" customWidth="1"/>
    <col min="8705" max="8705" width="32.7109375" customWidth="1"/>
    <col min="8706" max="8725" width="4.7109375" customWidth="1"/>
    <col min="8961" max="8961" width="32.7109375" customWidth="1"/>
    <col min="8962" max="8981" width="4.7109375" customWidth="1"/>
    <col min="9217" max="9217" width="32.7109375" customWidth="1"/>
    <col min="9218" max="9237" width="4.7109375" customWidth="1"/>
    <col min="9473" max="9473" width="32.7109375" customWidth="1"/>
    <col min="9474" max="9493" width="4.7109375" customWidth="1"/>
    <col min="9729" max="9729" width="32.7109375" customWidth="1"/>
    <col min="9730" max="9749" width="4.7109375" customWidth="1"/>
    <col min="9985" max="9985" width="32.7109375" customWidth="1"/>
    <col min="9986" max="10005" width="4.7109375" customWidth="1"/>
    <col min="10241" max="10241" width="32.7109375" customWidth="1"/>
    <col min="10242" max="10261" width="4.7109375" customWidth="1"/>
    <col min="10497" max="10497" width="32.7109375" customWidth="1"/>
    <col min="10498" max="10517" width="4.7109375" customWidth="1"/>
    <col min="10753" max="10753" width="32.7109375" customWidth="1"/>
    <col min="10754" max="10773" width="4.7109375" customWidth="1"/>
    <col min="11009" max="11009" width="32.7109375" customWidth="1"/>
    <col min="11010" max="11029" width="4.7109375" customWidth="1"/>
    <col min="11265" max="11265" width="32.7109375" customWidth="1"/>
    <col min="11266" max="11285" width="4.7109375" customWidth="1"/>
    <col min="11521" max="11521" width="32.7109375" customWidth="1"/>
    <col min="11522" max="11541" width="4.7109375" customWidth="1"/>
    <col min="11777" max="11777" width="32.7109375" customWidth="1"/>
    <col min="11778" max="11797" width="4.7109375" customWidth="1"/>
    <col min="12033" max="12033" width="32.7109375" customWidth="1"/>
    <col min="12034" max="12053" width="4.7109375" customWidth="1"/>
    <col min="12289" max="12289" width="32.7109375" customWidth="1"/>
    <col min="12290" max="12309" width="4.7109375" customWidth="1"/>
    <col min="12545" max="12545" width="32.7109375" customWidth="1"/>
    <col min="12546" max="12565" width="4.7109375" customWidth="1"/>
    <col min="12801" max="12801" width="32.7109375" customWidth="1"/>
    <col min="12802" max="12821" width="4.7109375" customWidth="1"/>
    <col min="13057" max="13057" width="32.7109375" customWidth="1"/>
    <col min="13058" max="13077" width="4.7109375" customWidth="1"/>
    <col min="13313" max="13313" width="32.7109375" customWidth="1"/>
    <col min="13314" max="13333" width="4.7109375" customWidth="1"/>
    <col min="13569" max="13569" width="32.7109375" customWidth="1"/>
    <col min="13570" max="13589" width="4.7109375" customWidth="1"/>
    <col min="13825" max="13825" width="32.7109375" customWidth="1"/>
    <col min="13826" max="13845" width="4.7109375" customWidth="1"/>
    <col min="14081" max="14081" width="32.7109375" customWidth="1"/>
    <col min="14082" max="14101" width="4.7109375" customWidth="1"/>
    <col min="14337" max="14337" width="32.7109375" customWidth="1"/>
    <col min="14338" max="14357" width="4.7109375" customWidth="1"/>
    <col min="14593" max="14593" width="32.7109375" customWidth="1"/>
    <col min="14594" max="14613" width="4.7109375" customWidth="1"/>
    <col min="14849" max="14849" width="32.7109375" customWidth="1"/>
    <col min="14850" max="14869" width="4.7109375" customWidth="1"/>
    <col min="15105" max="15105" width="32.7109375" customWidth="1"/>
    <col min="15106" max="15125" width="4.7109375" customWidth="1"/>
    <col min="15361" max="15361" width="32.7109375" customWidth="1"/>
    <col min="15362" max="15381" width="4.7109375" customWidth="1"/>
    <col min="15617" max="15617" width="32.7109375" customWidth="1"/>
    <col min="15618" max="15637" width="4.7109375" customWidth="1"/>
    <col min="15873" max="15873" width="32.7109375" customWidth="1"/>
    <col min="15874" max="15893" width="4.7109375" customWidth="1"/>
    <col min="16129" max="16129" width="32.7109375" customWidth="1"/>
    <col min="16130" max="16149" width="4.7109375" customWidth="1"/>
  </cols>
  <sheetData>
    <row r="1" spans="1:21" s="274" customFormat="1" ht="13.5" customHeight="1" thickTop="1">
      <c r="A1" s="679" t="s">
        <v>282</v>
      </c>
      <c r="B1" s="680"/>
      <c r="C1" s="680"/>
      <c r="D1" s="680"/>
      <c r="E1" s="680"/>
      <c r="F1" s="680"/>
      <c r="G1" s="680"/>
      <c r="H1" s="680"/>
      <c r="I1" s="680"/>
      <c r="J1" s="680"/>
      <c r="K1" s="680"/>
      <c r="L1" s="680"/>
      <c r="M1" s="680"/>
      <c r="N1" s="680"/>
      <c r="O1" s="680"/>
      <c r="P1" s="680"/>
      <c r="Q1" s="680"/>
      <c r="R1" s="680"/>
      <c r="S1" s="680"/>
      <c r="T1" s="680"/>
      <c r="U1" s="681"/>
    </row>
    <row r="2" spans="1:21" s="274" customFormat="1" ht="13.5" thickBot="1">
      <c r="A2" s="682"/>
      <c r="B2" s="683"/>
      <c r="C2" s="683"/>
      <c r="D2" s="683"/>
      <c r="E2" s="683"/>
      <c r="F2" s="683"/>
      <c r="G2" s="683"/>
      <c r="H2" s="683"/>
      <c r="I2" s="683"/>
      <c r="J2" s="683"/>
      <c r="K2" s="683"/>
      <c r="L2" s="683"/>
      <c r="M2" s="683"/>
      <c r="N2" s="683"/>
      <c r="O2" s="683"/>
      <c r="P2" s="683"/>
      <c r="Q2" s="683"/>
      <c r="R2" s="683"/>
      <c r="S2" s="683"/>
      <c r="T2" s="683"/>
      <c r="U2" s="684"/>
    </row>
    <row r="3" spans="1:21" ht="16.5" thickTop="1" thickBot="1"/>
    <row r="4" spans="1:21" ht="16.5" customHeight="1" thickBot="1">
      <c r="B4" s="685" t="s">
        <v>283</v>
      </c>
      <c r="C4" s="686"/>
      <c r="D4" s="686"/>
      <c r="E4" s="686"/>
      <c r="F4" s="687"/>
      <c r="G4" s="685" t="s">
        <v>284</v>
      </c>
      <c r="H4" s="686"/>
      <c r="I4" s="686"/>
      <c r="J4" s="686"/>
      <c r="K4" s="687"/>
      <c r="L4" s="685" t="s">
        <v>285</v>
      </c>
      <c r="M4" s="686"/>
      <c r="N4" s="686"/>
      <c r="O4" s="686"/>
      <c r="P4" s="687"/>
      <c r="Q4" s="685" t="s">
        <v>286</v>
      </c>
      <c r="R4" s="686"/>
      <c r="S4" s="686"/>
      <c r="T4" s="686"/>
      <c r="U4" s="687"/>
    </row>
    <row r="5" spans="1:21" s="283" customFormat="1" ht="75" customHeight="1">
      <c r="A5" s="279"/>
      <c r="B5" s="280" t="s">
        <v>287</v>
      </c>
      <c r="C5" s="281" t="s">
        <v>288</v>
      </c>
      <c r="D5" s="281" t="s">
        <v>289</v>
      </c>
      <c r="E5" s="281" t="s">
        <v>290</v>
      </c>
      <c r="F5" s="282" t="s">
        <v>291</v>
      </c>
      <c r="G5" s="280" t="s">
        <v>287</v>
      </c>
      <c r="H5" s="281" t="s">
        <v>288</v>
      </c>
      <c r="I5" s="281" t="s">
        <v>289</v>
      </c>
      <c r="J5" s="281" t="s">
        <v>290</v>
      </c>
      <c r="K5" s="282" t="s">
        <v>291</v>
      </c>
      <c r="L5" s="280" t="s">
        <v>287</v>
      </c>
      <c r="M5" s="281" t="s">
        <v>288</v>
      </c>
      <c r="N5" s="281" t="s">
        <v>289</v>
      </c>
      <c r="O5" s="281" t="s">
        <v>290</v>
      </c>
      <c r="P5" s="282" t="s">
        <v>291</v>
      </c>
      <c r="Q5" s="280" t="s">
        <v>287</v>
      </c>
      <c r="R5" s="281" t="s">
        <v>288</v>
      </c>
      <c r="S5" s="281" t="s">
        <v>289</v>
      </c>
      <c r="T5" s="281" t="s">
        <v>290</v>
      </c>
      <c r="U5" s="282" t="s">
        <v>291</v>
      </c>
    </row>
    <row r="6" spans="1:21" s="289" customFormat="1" ht="6" customHeight="1">
      <c r="A6" s="284"/>
      <c r="B6" s="285"/>
      <c r="C6" s="286"/>
      <c r="D6" s="287"/>
      <c r="E6" s="286"/>
      <c r="F6" s="288"/>
      <c r="G6" s="285"/>
      <c r="H6" s="286"/>
      <c r="I6" s="287"/>
      <c r="J6" s="286"/>
      <c r="K6" s="288"/>
      <c r="L6" s="285"/>
      <c r="M6" s="286"/>
      <c r="N6" s="287"/>
      <c r="O6" s="286"/>
      <c r="P6" s="288"/>
      <c r="Q6" s="285"/>
      <c r="R6" s="286"/>
      <c r="S6" s="287"/>
      <c r="T6" s="286"/>
      <c r="U6" s="288"/>
    </row>
    <row r="7" spans="1:21">
      <c r="A7" s="290" t="s">
        <v>296</v>
      </c>
      <c r="B7" s="291"/>
      <c r="C7" s="292"/>
      <c r="D7" s="293"/>
      <c r="E7" s="292"/>
      <c r="F7" s="294"/>
      <c r="G7" s="291"/>
      <c r="H7" s="292"/>
      <c r="I7" s="293"/>
      <c r="J7" s="292"/>
      <c r="K7" s="294"/>
      <c r="L7" s="291"/>
      <c r="M7" s="292"/>
      <c r="N7" s="293"/>
      <c r="O7" s="292"/>
      <c r="P7" s="294"/>
      <c r="Q7" s="291"/>
      <c r="R7" s="292"/>
      <c r="S7" s="293"/>
      <c r="T7" s="292"/>
      <c r="U7" s="294"/>
    </row>
    <row r="8" spans="1:21">
      <c r="A8" s="290"/>
      <c r="B8" s="291"/>
      <c r="C8" s="292"/>
      <c r="D8" s="293"/>
      <c r="E8" s="292"/>
      <c r="F8" s="294"/>
      <c r="G8" s="291"/>
      <c r="H8" s="292"/>
      <c r="I8" s="293"/>
      <c r="J8" s="292"/>
      <c r="K8" s="294"/>
      <c r="L8" s="291"/>
      <c r="M8" s="292"/>
      <c r="N8" s="293"/>
      <c r="O8" s="292"/>
      <c r="P8" s="294"/>
      <c r="Q8" s="291"/>
      <c r="R8" s="292"/>
      <c r="S8" s="293"/>
      <c r="T8" s="292"/>
      <c r="U8" s="294"/>
    </row>
    <row r="9" spans="1:21">
      <c r="A9" s="290"/>
      <c r="B9" s="291"/>
      <c r="C9" s="292"/>
      <c r="D9" s="293"/>
      <c r="E9" s="292"/>
      <c r="F9" s="294"/>
      <c r="G9" s="291"/>
      <c r="H9" s="292"/>
      <c r="I9" s="293"/>
      <c r="J9" s="292"/>
      <c r="K9" s="294"/>
      <c r="L9" s="291"/>
      <c r="M9" s="292"/>
      <c r="N9" s="293"/>
      <c r="O9" s="292"/>
      <c r="P9" s="294"/>
      <c r="Q9" s="291"/>
      <c r="R9" s="292"/>
      <c r="S9" s="293"/>
      <c r="T9" s="292"/>
      <c r="U9" s="294"/>
    </row>
    <row r="10" spans="1:21">
      <c r="A10" s="290"/>
      <c r="B10" s="291"/>
      <c r="C10" s="292"/>
      <c r="D10" s="293"/>
      <c r="E10" s="292"/>
      <c r="F10" s="294"/>
      <c r="G10" s="291"/>
      <c r="H10" s="292"/>
      <c r="I10" s="293"/>
      <c r="J10" s="292"/>
      <c r="K10" s="294"/>
      <c r="L10" s="291"/>
      <c r="M10" s="292"/>
      <c r="N10" s="293"/>
      <c r="O10" s="292"/>
      <c r="P10" s="294"/>
      <c r="Q10" s="291"/>
      <c r="R10" s="292"/>
      <c r="S10" s="293"/>
      <c r="T10" s="292"/>
      <c r="U10" s="294"/>
    </row>
    <row r="11" spans="1:21">
      <c r="A11" s="290" t="s">
        <v>297</v>
      </c>
      <c r="B11" s="291"/>
      <c r="C11" s="292"/>
      <c r="D11" s="293"/>
      <c r="E11" s="292"/>
      <c r="F11" s="294"/>
      <c r="G11" s="291"/>
      <c r="H11" s="292"/>
      <c r="I11" s="293"/>
      <c r="J11" s="292"/>
      <c r="K11" s="294"/>
      <c r="L11" s="291"/>
      <c r="M11" s="292"/>
      <c r="N11" s="293"/>
      <c r="O11" s="292"/>
      <c r="P11" s="294"/>
      <c r="Q11" s="291"/>
      <c r="R11" s="292"/>
      <c r="S11" s="293"/>
      <c r="T11" s="292"/>
      <c r="U11" s="294"/>
    </row>
    <row r="12" spans="1:21">
      <c r="A12" s="290"/>
      <c r="B12" s="291"/>
      <c r="C12" s="292"/>
      <c r="D12" s="293"/>
      <c r="E12" s="292"/>
      <c r="F12" s="294"/>
      <c r="G12" s="291"/>
      <c r="H12" s="292"/>
      <c r="I12" s="293"/>
      <c r="J12" s="292"/>
      <c r="K12" s="294"/>
      <c r="L12" s="291"/>
      <c r="M12" s="292"/>
      <c r="N12" s="293"/>
      <c r="O12" s="292"/>
      <c r="P12" s="294"/>
      <c r="Q12" s="291"/>
      <c r="R12" s="292"/>
      <c r="S12" s="293"/>
      <c r="T12" s="292"/>
      <c r="U12" s="294"/>
    </row>
    <row r="13" spans="1:21">
      <c r="A13" s="290"/>
      <c r="B13" s="291"/>
      <c r="C13" s="292"/>
      <c r="D13" s="293"/>
      <c r="E13" s="292"/>
      <c r="F13" s="294"/>
      <c r="G13" s="291"/>
      <c r="H13" s="292"/>
      <c r="I13" s="293"/>
      <c r="J13" s="292"/>
      <c r="K13" s="294"/>
      <c r="L13" s="291"/>
      <c r="M13" s="292"/>
      <c r="N13" s="293"/>
      <c r="O13" s="292"/>
      <c r="P13" s="294"/>
      <c r="Q13" s="291"/>
      <c r="R13" s="292"/>
      <c r="S13" s="293"/>
      <c r="T13" s="292"/>
      <c r="U13" s="294"/>
    </row>
    <row r="14" spans="1:21">
      <c r="A14" s="290"/>
      <c r="B14" s="291"/>
      <c r="C14" s="292"/>
      <c r="D14" s="293"/>
      <c r="E14" s="292"/>
      <c r="F14" s="294"/>
      <c r="G14" s="291"/>
      <c r="H14" s="292"/>
      <c r="I14" s="293"/>
      <c r="J14" s="292"/>
      <c r="K14" s="294"/>
      <c r="L14" s="291"/>
      <c r="M14" s="292"/>
      <c r="N14" s="293"/>
      <c r="O14" s="292"/>
      <c r="P14" s="294"/>
      <c r="Q14" s="291"/>
      <c r="R14" s="292"/>
      <c r="S14" s="293"/>
      <c r="T14" s="292"/>
      <c r="U14" s="294"/>
    </row>
    <row r="15" spans="1:21">
      <c r="A15" s="290" t="s">
        <v>298</v>
      </c>
      <c r="B15" s="291"/>
      <c r="C15" s="292"/>
      <c r="D15" s="293"/>
      <c r="E15" s="292"/>
      <c r="F15" s="294"/>
      <c r="G15" s="291"/>
      <c r="H15" s="292"/>
      <c r="I15" s="293"/>
      <c r="J15" s="292"/>
      <c r="K15" s="294"/>
      <c r="L15" s="291"/>
      <c r="M15" s="292"/>
      <c r="N15" s="293"/>
      <c r="O15" s="292"/>
      <c r="P15" s="294"/>
      <c r="Q15" s="291"/>
      <c r="R15" s="292"/>
      <c r="S15" s="293"/>
      <c r="T15" s="292"/>
      <c r="U15" s="294"/>
    </row>
    <row r="16" spans="1:21">
      <c r="A16" s="290"/>
      <c r="B16" s="291"/>
      <c r="C16" s="292"/>
      <c r="D16" s="293"/>
      <c r="E16" s="292"/>
      <c r="F16" s="294"/>
      <c r="G16" s="291"/>
      <c r="H16" s="292"/>
      <c r="I16" s="293"/>
      <c r="J16" s="292"/>
      <c r="K16" s="294"/>
      <c r="L16" s="291"/>
      <c r="M16" s="292"/>
      <c r="N16" s="293"/>
      <c r="O16" s="292"/>
      <c r="P16" s="294"/>
      <c r="Q16" s="291"/>
      <c r="R16" s="292"/>
      <c r="S16" s="293"/>
      <c r="T16" s="292"/>
      <c r="U16" s="294"/>
    </row>
    <row r="17" spans="1:21">
      <c r="A17" s="290"/>
      <c r="B17" s="291"/>
      <c r="C17" s="292"/>
      <c r="D17" s="293"/>
      <c r="E17" s="292"/>
      <c r="F17" s="294"/>
      <c r="G17" s="291"/>
      <c r="H17" s="292"/>
      <c r="I17" s="293"/>
      <c r="J17" s="292"/>
      <c r="K17" s="294"/>
      <c r="L17" s="291"/>
      <c r="M17" s="292"/>
      <c r="N17" s="293"/>
      <c r="O17" s="292"/>
      <c r="P17" s="294"/>
      <c r="Q17" s="291"/>
      <c r="R17" s="292"/>
      <c r="S17" s="293"/>
      <c r="T17" s="292"/>
      <c r="U17" s="294"/>
    </row>
    <row r="18" spans="1:21">
      <c r="A18" s="290"/>
      <c r="B18" s="291"/>
      <c r="C18" s="292"/>
      <c r="D18" s="293"/>
      <c r="E18" s="292"/>
      <c r="F18" s="294"/>
      <c r="G18" s="291"/>
      <c r="H18" s="292"/>
      <c r="I18" s="293"/>
      <c r="J18" s="292"/>
      <c r="K18" s="294"/>
      <c r="L18" s="291"/>
      <c r="M18" s="292"/>
      <c r="N18" s="293"/>
      <c r="O18" s="292"/>
      <c r="P18" s="294"/>
      <c r="Q18" s="291"/>
      <c r="R18" s="292"/>
      <c r="S18" s="293"/>
      <c r="T18" s="292"/>
      <c r="U18" s="294"/>
    </row>
    <row r="19" spans="1:21">
      <c r="A19" s="290" t="s">
        <v>299</v>
      </c>
      <c r="B19" s="291"/>
      <c r="C19" s="292"/>
      <c r="D19" s="293"/>
      <c r="E19" s="292"/>
      <c r="F19" s="294"/>
      <c r="G19" s="291"/>
      <c r="H19" s="292"/>
      <c r="I19" s="293"/>
      <c r="J19" s="292"/>
      <c r="K19" s="294"/>
      <c r="L19" s="291"/>
      <c r="M19" s="292"/>
      <c r="N19" s="293"/>
      <c r="O19" s="292"/>
      <c r="P19" s="294"/>
      <c r="Q19" s="291"/>
      <c r="R19" s="292"/>
      <c r="S19" s="293"/>
      <c r="T19" s="292"/>
      <c r="U19" s="294"/>
    </row>
    <row r="20" spans="1:21">
      <c r="A20" s="290"/>
      <c r="B20" s="291"/>
      <c r="C20" s="292"/>
      <c r="D20" s="293"/>
      <c r="E20" s="292"/>
      <c r="F20" s="294"/>
      <c r="G20" s="291"/>
      <c r="H20" s="292"/>
      <c r="I20" s="293"/>
      <c r="J20" s="292"/>
      <c r="K20" s="294"/>
      <c r="L20" s="291"/>
      <c r="M20" s="292"/>
      <c r="N20" s="293"/>
      <c r="O20" s="292"/>
      <c r="P20" s="294"/>
      <c r="Q20" s="291"/>
      <c r="R20" s="292"/>
      <c r="S20" s="293"/>
      <c r="T20" s="292"/>
      <c r="U20" s="294"/>
    </row>
    <row r="21" spans="1:21">
      <c r="A21" s="290"/>
      <c r="B21" s="291"/>
      <c r="C21" s="292"/>
      <c r="D21" s="293"/>
      <c r="E21" s="292"/>
      <c r="F21" s="294"/>
      <c r="G21" s="291"/>
      <c r="H21" s="292"/>
      <c r="I21" s="293"/>
      <c r="J21" s="292"/>
      <c r="K21" s="294"/>
      <c r="L21" s="291"/>
      <c r="M21" s="292"/>
      <c r="N21" s="293"/>
      <c r="O21" s="292"/>
      <c r="P21" s="294"/>
      <c r="Q21" s="291"/>
      <c r="R21" s="292"/>
      <c r="S21" s="293"/>
      <c r="T21" s="292"/>
      <c r="U21" s="294"/>
    </row>
    <row r="22" spans="1:21">
      <c r="A22" s="290"/>
      <c r="B22" s="291"/>
      <c r="C22" s="292"/>
      <c r="D22" s="293"/>
      <c r="E22" s="292"/>
      <c r="F22" s="294"/>
      <c r="G22" s="291"/>
      <c r="H22" s="292"/>
      <c r="I22" s="293"/>
      <c r="J22" s="292"/>
      <c r="K22" s="294"/>
      <c r="L22" s="291"/>
      <c r="M22" s="292"/>
      <c r="N22" s="293"/>
      <c r="O22" s="292"/>
      <c r="P22" s="294"/>
      <c r="Q22" s="291"/>
      <c r="R22" s="292"/>
      <c r="S22" s="293"/>
      <c r="T22" s="292"/>
      <c r="U22" s="294"/>
    </row>
    <row r="23" spans="1:21">
      <c r="A23" s="290" t="s">
        <v>292</v>
      </c>
      <c r="B23" s="291"/>
      <c r="C23" s="292"/>
      <c r="D23" s="293"/>
      <c r="E23" s="292"/>
      <c r="F23" s="294"/>
      <c r="G23" s="291"/>
      <c r="H23" s="292"/>
      <c r="I23" s="293"/>
      <c r="J23" s="292"/>
      <c r="K23" s="294"/>
      <c r="L23" s="291"/>
      <c r="M23" s="292"/>
      <c r="N23" s="293"/>
      <c r="O23" s="292"/>
      <c r="P23" s="294"/>
      <c r="Q23" s="291"/>
      <c r="R23" s="292"/>
      <c r="S23" s="293"/>
      <c r="T23" s="292"/>
      <c r="U23" s="294"/>
    </row>
    <row r="24" spans="1:21">
      <c r="A24" s="290"/>
      <c r="B24" s="291"/>
      <c r="C24" s="292"/>
      <c r="D24" s="293"/>
      <c r="E24" s="292"/>
      <c r="F24" s="294"/>
      <c r="G24" s="291"/>
      <c r="H24" s="292"/>
      <c r="I24" s="293"/>
      <c r="J24" s="292"/>
      <c r="K24" s="294"/>
      <c r="L24" s="291"/>
      <c r="M24" s="292"/>
      <c r="N24" s="293"/>
      <c r="O24" s="292"/>
      <c r="P24" s="294"/>
      <c r="Q24" s="291"/>
      <c r="R24" s="292"/>
      <c r="S24" s="293"/>
      <c r="T24" s="292"/>
      <c r="U24" s="294"/>
    </row>
    <row r="25" spans="1:21">
      <c r="A25" s="290"/>
      <c r="B25" s="291"/>
      <c r="C25" s="292"/>
      <c r="D25" s="293"/>
      <c r="E25" s="292"/>
      <c r="F25" s="294"/>
      <c r="G25" s="291"/>
      <c r="H25" s="292"/>
      <c r="I25" s="293"/>
      <c r="J25" s="292"/>
      <c r="K25" s="294"/>
      <c r="L25" s="291"/>
      <c r="M25" s="292"/>
      <c r="N25" s="293"/>
      <c r="O25" s="292"/>
      <c r="P25" s="294"/>
      <c r="Q25" s="291"/>
      <c r="R25" s="292"/>
      <c r="S25" s="293"/>
      <c r="T25" s="292"/>
      <c r="U25" s="294"/>
    </row>
    <row r="26" spans="1:21">
      <c r="A26" s="290"/>
      <c r="B26" s="291"/>
      <c r="C26" s="292"/>
      <c r="D26" s="293"/>
      <c r="E26" s="292"/>
      <c r="F26" s="294"/>
      <c r="G26" s="291"/>
      <c r="H26" s="292"/>
      <c r="I26" s="293"/>
      <c r="J26" s="292"/>
      <c r="K26" s="294"/>
      <c r="L26" s="291"/>
      <c r="M26" s="292"/>
      <c r="N26" s="293"/>
      <c r="O26" s="292"/>
      <c r="P26" s="294"/>
      <c r="Q26" s="291"/>
      <c r="R26" s="292"/>
      <c r="S26" s="293"/>
      <c r="T26" s="292"/>
      <c r="U26" s="294"/>
    </row>
    <row r="27" spans="1:21" ht="5.25" customHeight="1" thickBot="1">
      <c r="A27" s="295"/>
      <c r="B27" s="296"/>
      <c r="C27" s="297"/>
      <c r="D27" s="298"/>
      <c r="E27" s="297"/>
      <c r="F27" s="299"/>
      <c r="G27" s="296"/>
      <c r="H27" s="297"/>
      <c r="I27" s="298"/>
      <c r="J27" s="297"/>
      <c r="K27" s="299"/>
      <c r="L27" s="296"/>
      <c r="M27" s="297"/>
      <c r="N27" s="298"/>
      <c r="O27" s="297"/>
      <c r="P27" s="299"/>
      <c r="Q27" s="296"/>
      <c r="R27" s="297"/>
      <c r="S27" s="298"/>
      <c r="T27" s="297"/>
      <c r="U27" s="299"/>
    </row>
    <row r="31" spans="1:21">
      <c r="A31" s="300" t="s">
        <v>293</v>
      </c>
    </row>
    <row r="32" spans="1:21" ht="15.75" thickBot="1">
      <c r="A32"/>
    </row>
    <row r="33" spans="1:8" ht="235.5" customHeight="1" thickBot="1">
      <c r="A33" s="688" t="s">
        <v>294</v>
      </c>
      <c r="B33" s="689"/>
      <c r="C33" s="689"/>
      <c r="D33" s="689"/>
      <c r="E33" s="689"/>
      <c r="F33" s="689"/>
      <c r="G33" s="689"/>
      <c r="H33" s="690"/>
    </row>
    <row r="34" spans="1:8" ht="15.75" thickBot="1">
      <c r="A34" s="1"/>
    </row>
    <row r="35" spans="1:8" ht="71.25" customHeight="1" thickBot="1">
      <c r="A35" s="676" t="s">
        <v>295</v>
      </c>
      <c r="B35" s="677"/>
      <c r="C35" s="677"/>
      <c r="D35" s="677"/>
      <c r="E35" s="677"/>
      <c r="F35" s="677"/>
      <c r="G35" s="677"/>
      <c r="H35" s="678"/>
    </row>
  </sheetData>
  <mergeCells count="7">
    <mergeCell ref="A35:H35"/>
    <mergeCell ref="A1:U2"/>
    <mergeCell ref="B4:F4"/>
    <mergeCell ref="G4:K4"/>
    <mergeCell ref="L4:P4"/>
    <mergeCell ref="Q4:U4"/>
    <mergeCell ref="A33:H3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5"/>
  <sheetViews>
    <sheetView workbookViewId="0">
      <selection activeCell="AN22" sqref="AN22"/>
    </sheetView>
  </sheetViews>
  <sheetFormatPr defaultRowHeight="12"/>
  <cols>
    <col min="1" max="1" width="4.5703125" style="343" customWidth="1"/>
    <col min="2" max="2" width="10.42578125" style="344" customWidth="1"/>
    <col min="3" max="7" width="5" style="343" customWidth="1"/>
    <col min="8" max="39" width="2.42578125" style="343" customWidth="1"/>
    <col min="40" max="256" width="9.140625" style="335"/>
    <col min="257" max="257" width="4.5703125" style="335" customWidth="1"/>
    <col min="258" max="258" width="10.42578125" style="335" customWidth="1"/>
    <col min="259" max="263" width="5" style="335" customWidth="1"/>
    <col min="264" max="295" width="2.42578125" style="335" customWidth="1"/>
    <col min="296" max="512" width="9.140625" style="335"/>
    <col min="513" max="513" width="4.5703125" style="335" customWidth="1"/>
    <col min="514" max="514" width="10.42578125" style="335" customWidth="1"/>
    <col min="515" max="519" width="5" style="335" customWidth="1"/>
    <col min="520" max="551" width="2.42578125" style="335" customWidth="1"/>
    <col min="552" max="768" width="9.140625" style="335"/>
    <col min="769" max="769" width="4.5703125" style="335" customWidth="1"/>
    <col min="770" max="770" width="10.42578125" style="335" customWidth="1"/>
    <col min="771" max="775" width="5" style="335" customWidth="1"/>
    <col min="776" max="807" width="2.42578125" style="335" customWidth="1"/>
    <col min="808" max="1024" width="9.140625" style="335"/>
    <col min="1025" max="1025" width="4.5703125" style="335" customWidth="1"/>
    <col min="1026" max="1026" width="10.42578125" style="335" customWidth="1"/>
    <col min="1027" max="1031" width="5" style="335" customWidth="1"/>
    <col min="1032" max="1063" width="2.42578125" style="335" customWidth="1"/>
    <col min="1064" max="1280" width="9.140625" style="335"/>
    <col min="1281" max="1281" width="4.5703125" style="335" customWidth="1"/>
    <col min="1282" max="1282" width="10.42578125" style="335" customWidth="1"/>
    <col min="1283" max="1287" width="5" style="335" customWidth="1"/>
    <col min="1288" max="1319" width="2.42578125" style="335" customWidth="1"/>
    <col min="1320" max="1536" width="9.140625" style="335"/>
    <col min="1537" max="1537" width="4.5703125" style="335" customWidth="1"/>
    <col min="1538" max="1538" width="10.42578125" style="335" customWidth="1"/>
    <col min="1539" max="1543" width="5" style="335" customWidth="1"/>
    <col min="1544" max="1575" width="2.42578125" style="335" customWidth="1"/>
    <col min="1576" max="1792" width="9.140625" style="335"/>
    <col min="1793" max="1793" width="4.5703125" style="335" customWidth="1"/>
    <col min="1794" max="1794" width="10.42578125" style="335" customWidth="1"/>
    <col min="1795" max="1799" width="5" style="335" customWidth="1"/>
    <col min="1800" max="1831" width="2.42578125" style="335" customWidth="1"/>
    <col min="1832" max="2048" width="9.140625" style="335"/>
    <col min="2049" max="2049" width="4.5703125" style="335" customWidth="1"/>
    <col min="2050" max="2050" width="10.42578125" style="335" customWidth="1"/>
    <col min="2051" max="2055" width="5" style="335" customWidth="1"/>
    <col min="2056" max="2087" width="2.42578125" style="335" customWidth="1"/>
    <col min="2088" max="2304" width="9.140625" style="335"/>
    <col min="2305" max="2305" width="4.5703125" style="335" customWidth="1"/>
    <col min="2306" max="2306" width="10.42578125" style="335" customWidth="1"/>
    <col min="2307" max="2311" width="5" style="335" customWidth="1"/>
    <col min="2312" max="2343" width="2.42578125" style="335" customWidth="1"/>
    <col min="2344" max="2560" width="9.140625" style="335"/>
    <col min="2561" max="2561" width="4.5703125" style="335" customWidth="1"/>
    <col min="2562" max="2562" width="10.42578125" style="335" customWidth="1"/>
    <col min="2563" max="2567" width="5" style="335" customWidth="1"/>
    <col min="2568" max="2599" width="2.42578125" style="335" customWidth="1"/>
    <col min="2600" max="2816" width="9.140625" style="335"/>
    <col min="2817" max="2817" width="4.5703125" style="335" customWidth="1"/>
    <col min="2818" max="2818" width="10.42578125" style="335" customWidth="1"/>
    <col min="2819" max="2823" width="5" style="335" customWidth="1"/>
    <col min="2824" max="2855" width="2.42578125" style="335" customWidth="1"/>
    <col min="2856" max="3072" width="9.140625" style="335"/>
    <col min="3073" max="3073" width="4.5703125" style="335" customWidth="1"/>
    <col min="3074" max="3074" width="10.42578125" style="335" customWidth="1"/>
    <col min="3075" max="3079" width="5" style="335" customWidth="1"/>
    <col min="3080" max="3111" width="2.42578125" style="335" customWidth="1"/>
    <col min="3112" max="3328" width="9.140625" style="335"/>
    <col min="3329" max="3329" width="4.5703125" style="335" customWidth="1"/>
    <col min="3330" max="3330" width="10.42578125" style="335" customWidth="1"/>
    <col min="3331" max="3335" width="5" style="335" customWidth="1"/>
    <col min="3336" max="3367" width="2.42578125" style="335" customWidth="1"/>
    <col min="3368" max="3584" width="9.140625" style="335"/>
    <col min="3585" max="3585" width="4.5703125" style="335" customWidth="1"/>
    <col min="3586" max="3586" width="10.42578125" style="335" customWidth="1"/>
    <col min="3587" max="3591" width="5" style="335" customWidth="1"/>
    <col min="3592" max="3623" width="2.42578125" style="335" customWidth="1"/>
    <col min="3624" max="3840" width="9.140625" style="335"/>
    <col min="3841" max="3841" width="4.5703125" style="335" customWidth="1"/>
    <col min="3842" max="3842" width="10.42578125" style="335" customWidth="1"/>
    <col min="3843" max="3847" width="5" style="335" customWidth="1"/>
    <col min="3848" max="3879" width="2.42578125" style="335" customWidth="1"/>
    <col min="3880" max="4096" width="9.140625" style="335"/>
    <col min="4097" max="4097" width="4.5703125" style="335" customWidth="1"/>
    <col min="4098" max="4098" width="10.42578125" style="335" customWidth="1"/>
    <col min="4099" max="4103" width="5" style="335" customWidth="1"/>
    <col min="4104" max="4135" width="2.42578125" style="335" customWidth="1"/>
    <col min="4136" max="4352" width="9.140625" style="335"/>
    <col min="4353" max="4353" width="4.5703125" style="335" customWidth="1"/>
    <col min="4354" max="4354" width="10.42578125" style="335" customWidth="1"/>
    <col min="4355" max="4359" width="5" style="335" customWidth="1"/>
    <col min="4360" max="4391" width="2.42578125" style="335" customWidth="1"/>
    <col min="4392" max="4608" width="9.140625" style="335"/>
    <col min="4609" max="4609" width="4.5703125" style="335" customWidth="1"/>
    <col min="4610" max="4610" width="10.42578125" style="335" customWidth="1"/>
    <col min="4611" max="4615" width="5" style="335" customWidth="1"/>
    <col min="4616" max="4647" width="2.42578125" style="335" customWidth="1"/>
    <col min="4648" max="4864" width="9.140625" style="335"/>
    <col min="4865" max="4865" width="4.5703125" style="335" customWidth="1"/>
    <col min="4866" max="4866" width="10.42578125" style="335" customWidth="1"/>
    <col min="4867" max="4871" width="5" style="335" customWidth="1"/>
    <col min="4872" max="4903" width="2.42578125" style="335" customWidth="1"/>
    <col min="4904" max="5120" width="9.140625" style="335"/>
    <col min="5121" max="5121" width="4.5703125" style="335" customWidth="1"/>
    <col min="5122" max="5122" width="10.42578125" style="335" customWidth="1"/>
    <col min="5123" max="5127" width="5" style="335" customWidth="1"/>
    <col min="5128" max="5159" width="2.42578125" style="335" customWidth="1"/>
    <col min="5160" max="5376" width="9.140625" style="335"/>
    <col min="5377" max="5377" width="4.5703125" style="335" customWidth="1"/>
    <col min="5378" max="5378" width="10.42578125" style="335" customWidth="1"/>
    <col min="5379" max="5383" width="5" style="335" customWidth="1"/>
    <col min="5384" max="5415" width="2.42578125" style="335" customWidth="1"/>
    <col min="5416" max="5632" width="9.140625" style="335"/>
    <col min="5633" max="5633" width="4.5703125" style="335" customWidth="1"/>
    <col min="5634" max="5634" width="10.42578125" style="335" customWidth="1"/>
    <col min="5635" max="5639" width="5" style="335" customWidth="1"/>
    <col min="5640" max="5671" width="2.42578125" style="335" customWidth="1"/>
    <col min="5672" max="5888" width="9.140625" style="335"/>
    <col min="5889" max="5889" width="4.5703125" style="335" customWidth="1"/>
    <col min="5890" max="5890" width="10.42578125" style="335" customWidth="1"/>
    <col min="5891" max="5895" width="5" style="335" customWidth="1"/>
    <col min="5896" max="5927" width="2.42578125" style="335" customWidth="1"/>
    <col min="5928" max="6144" width="9.140625" style="335"/>
    <col min="6145" max="6145" width="4.5703125" style="335" customWidth="1"/>
    <col min="6146" max="6146" width="10.42578125" style="335" customWidth="1"/>
    <col min="6147" max="6151" width="5" style="335" customWidth="1"/>
    <col min="6152" max="6183" width="2.42578125" style="335" customWidth="1"/>
    <col min="6184" max="6400" width="9.140625" style="335"/>
    <col min="6401" max="6401" width="4.5703125" style="335" customWidth="1"/>
    <col min="6402" max="6402" width="10.42578125" style="335" customWidth="1"/>
    <col min="6403" max="6407" width="5" style="335" customWidth="1"/>
    <col min="6408" max="6439" width="2.42578125" style="335" customWidth="1"/>
    <col min="6440" max="6656" width="9.140625" style="335"/>
    <col min="6657" max="6657" width="4.5703125" style="335" customWidth="1"/>
    <col min="6658" max="6658" width="10.42578125" style="335" customWidth="1"/>
    <col min="6659" max="6663" width="5" style="335" customWidth="1"/>
    <col min="6664" max="6695" width="2.42578125" style="335" customWidth="1"/>
    <col min="6696" max="6912" width="9.140625" style="335"/>
    <col min="6913" max="6913" width="4.5703125" style="335" customWidth="1"/>
    <col min="6914" max="6914" width="10.42578125" style="335" customWidth="1"/>
    <col min="6915" max="6919" width="5" style="335" customWidth="1"/>
    <col min="6920" max="6951" width="2.42578125" style="335" customWidth="1"/>
    <col min="6952" max="7168" width="9.140625" style="335"/>
    <col min="7169" max="7169" width="4.5703125" style="335" customWidth="1"/>
    <col min="7170" max="7170" width="10.42578125" style="335" customWidth="1"/>
    <col min="7171" max="7175" width="5" style="335" customWidth="1"/>
    <col min="7176" max="7207" width="2.42578125" style="335" customWidth="1"/>
    <col min="7208" max="7424" width="9.140625" style="335"/>
    <col min="7425" max="7425" width="4.5703125" style="335" customWidth="1"/>
    <col min="7426" max="7426" width="10.42578125" style="335" customWidth="1"/>
    <col min="7427" max="7431" width="5" style="335" customWidth="1"/>
    <col min="7432" max="7463" width="2.42578125" style="335" customWidth="1"/>
    <col min="7464" max="7680" width="9.140625" style="335"/>
    <col min="7681" max="7681" width="4.5703125" style="335" customWidth="1"/>
    <col min="7682" max="7682" width="10.42578125" style="335" customWidth="1"/>
    <col min="7683" max="7687" width="5" style="335" customWidth="1"/>
    <col min="7688" max="7719" width="2.42578125" style="335" customWidth="1"/>
    <col min="7720" max="7936" width="9.140625" style="335"/>
    <col min="7937" max="7937" width="4.5703125" style="335" customWidth="1"/>
    <col min="7938" max="7938" width="10.42578125" style="335" customWidth="1"/>
    <col min="7939" max="7943" width="5" style="335" customWidth="1"/>
    <col min="7944" max="7975" width="2.42578125" style="335" customWidth="1"/>
    <col min="7976" max="8192" width="9.140625" style="335"/>
    <col min="8193" max="8193" width="4.5703125" style="335" customWidth="1"/>
    <col min="8194" max="8194" width="10.42578125" style="335" customWidth="1"/>
    <col min="8195" max="8199" width="5" style="335" customWidth="1"/>
    <col min="8200" max="8231" width="2.42578125" style="335" customWidth="1"/>
    <col min="8232" max="8448" width="9.140625" style="335"/>
    <col min="8449" max="8449" width="4.5703125" style="335" customWidth="1"/>
    <col min="8450" max="8450" width="10.42578125" style="335" customWidth="1"/>
    <col min="8451" max="8455" width="5" style="335" customWidth="1"/>
    <col min="8456" max="8487" width="2.42578125" style="335" customWidth="1"/>
    <col min="8488" max="8704" width="9.140625" style="335"/>
    <col min="8705" max="8705" width="4.5703125" style="335" customWidth="1"/>
    <col min="8706" max="8706" width="10.42578125" style="335" customWidth="1"/>
    <col min="8707" max="8711" width="5" style="335" customWidth="1"/>
    <col min="8712" max="8743" width="2.42578125" style="335" customWidth="1"/>
    <col min="8744" max="8960" width="9.140625" style="335"/>
    <col min="8961" max="8961" width="4.5703125" style="335" customWidth="1"/>
    <col min="8962" max="8962" width="10.42578125" style="335" customWidth="1"/>
    <col min="8963" max="8967" width="5" style="335" customWidth="1"/>
    <col min="8968" max="8999" width="2.42578125" style="335" customWidth="1"/>
    <col min="9000" max="9216" width="9.140625" style="335"/>
    <col min="9217" max="9217" width="4.5703125" style="335" customWidth="1"/>
    <col min="9218" max="9218" width="10.42578125" style="335" customWidth="1"/>
    <col min="9219" max="9223" width="5" style="335" customWidth="1"/>
    <col min="9224" max="9255" width="2.42578125" style="335" customWidth="1"/>
    <col min="9256" max="9472" width="9.140625" style="335"/>
    <col min="9473" max="9473" width="4.5703125" style="335" customWidth="1"/>
    <col min="9474" max="9474" width="10.42578125" style="335" customWidth="1"/>
    <col min="9475" max="9479" width="5" style="335" customWidth="1"/>
    <col min="9480" max="9511" width="2.42578125" style="335" customWidth="1"/>
    <col min="9512" max="9728" width="9.140625" style="335"/>
    <col min="9729" max="9729" width="4.5703125" style="335" customWidth="1"/>
    <col min="9730" max="9730" width="10.42578125" style="335" customWidth="1"/>
    <col min="9731" max="9735" width="5" style="335" customWidth="1"/>
    <col min="9736" max="9767" width="2.42578125" style="335" customWidth="1"/>
    <col min="9768" max="9984" width="9.140625" style="335"/>
    <col min="9985" max="9985" width="4.5703125" style="335" customWidth="1"/>
    <col min="9986" max="9986" width="10.42578125" style="335" customWidth="1"/>
    <col min="9987" max="9991" width="5" style="335" customWidth="1"/>
    <col min="9992" max="10023" width="2.42578125" style="335" customWidth="1"/>
    <col min="10024" max="10240" width="9.140625" style="335"/>
    <col min="10241" max="10241" width="4.5703125" style="335" customWidth="1"/>
    <col min="10242" max="10242" width="10.42578125" style="335" customWidth="1"/>
    <col min="10243" max="10247" width="5" style="335" customWidth="1"/>
    <col min="10248" max="10279" width="2.42578125" style="335" customWidth="1"/>
    <col min="10280" max="10496" width="9.140625" style="335"/>
    <col min="10497" max="10497" width="4.5703125" style="335" customWidth="1"/>
    <col min="10498" max="10498" width="10.42578125" style="335" customWidth="1"/>
    <col min="10499" max="10503" width="5" style="335" customWidth="1"/>
    <col min="10504" max="10535" width="2.42578125" style="335" customWidth="1"/>
    <col min="10536" max="10752" width="9.140625" style="335"/>
    <col min="10753" max="10753" width="4.5703125" style="335" customWidth="1"/>
    <col min="10754" max="10754" width="10.42578125" style="335" customWidth="1"/>
    <col min="10755" max="10759" width="5" style="335" customWidth="1"/>
    <col min="10760" max="10791" width="2.42578125" style="335" customWidth="1"/>
    <col min="10792" max="11008" width="9.140625" style="335"/>
    <col min="11009" max="11009" width="4.5703125" style="335" customWidth="1"/>
    <col min="11010" max="11010" width="10.42578125" style="335" customWidth="1"/>
    <col min="11011" max="11015" width="5" style="335" customWidth="1"/>
    <col min="11016" max="11047" width="2.42578125" style="335" customWidth="1"/>
    <col min="11048" max="11264" width="9.140625" style="335"/>
    <col min="11265" max="11265" width="4.5703125" style="335" customWidth="1"/>
    <col min="11266" max="11266" width="10.42578125" style="335" customWidth="1"/>
    <col min="11267" max="11271" width="5" style="335" customWidth="1"/>
    <col min="11272" max="11303" width="2.42578125" style="335" customWidth="1"/>
    <col min="11304" max="11520" width="9.140625" style="335"/>
    <col min="11521" max="11521" width="4.5703125" style="335" customWidth="1"/>
    <col min="11522" max="11522" width="10.42578125" style="335" customWidth="1"/>
    <col min="11523" max="11527" width="5" style="335" customWidth="1"/>
    <col min="11528" max="11559" width="2.42578125" style="335" customWidth="1"/>
    <col min="11560" max="11776" width="9.140625" style="335"/>
    <col min="11777" max="11777" width="4.5703125" style="335" customWidth="1"/>
    <col min="11778" max="11778" width="10.42578125" style="335" customWidth="1"/>
    <col min="11779" max="11783" width="5" style="335" customWidth="1"/>
    <col min="11784" max="11815" width="2.42578125" style="335" customWidth="1"/>
    <col min="11816" max="12032" width="9.140625" style="335"/>
    <col min="12033" max="12033" width="4.5703125" style="335" customWidth="1"/>
    <col min="12034" max="12034" width="10.42578125" style="335" customWidth="1"/>
    <col min="12035" max="12039" width="5" style="335" customWidth="1"/>
    <col min="12040" max="12071" width="2.42578125" style="335" customWidth="1"/>
    <col min="12072" max="12288" width="9.140625" style="335"/>
    <col min="12289" max="12289" width="4.5703125" style="335" customWidth="1"/>
    <col min="12290" max="12290" width="10.42578125" style="335" customWidth="1"/>
    <col min="12291" max="12295" width="5" style="335" customWidth="1"/>
    <col min="12296" max="12327" width="2.42578125" style="335" customWidth="1"/>
    <col min="12328" max="12544" width="9.140625" style="335"/>
    <col min="12545" max="12545" width="4.5703125" style="335" customWidth="1"/>
    <col min="12546" max="12546" width="10.42578125" style="335" customWidth="1"/>
    <col min="12547" max="12551" width="5" style="335" customWidth="1"/>
    <col min="12552" max="12583" width="2.42578125" style="335" customWidth="1"/>
    <col min="12584" max="12800" width="9.140625" style="335"/>
    <col min="12801" max="12801" width="4.5703125" style="335" customWidth="1"/>
    <col min="12802" max="12802" width="10.42578125" style="335" customWidth="1"/>
    <col min="12803" max="12807" width="5" style="335" customWidth="1"/>
    <col min="12808" max="12839" width="2.42578125" style="335" customWidth="1"/>
    <col min="12840" max="13056" width="9.140625" style="335"/>
    <col min="13057" max="13057" width="4.5703125" style="335" customWidth="1"/>
    <col min="13058" max="13058" width="10.42578125" style="335" customWidth="1"/>
    <col min="13059" max="13063" width="5" style="335" customWidth="1"/>
    <col min="13064" max="13095" width="2.42578125" style="335" customWidth="1"/>
    <col min="13096" max="13312" width="9.140625" style="335"/>
    <col min="13313" max="13313" width="4.5703125" style="335" customWidth="1"/>
    <col min="13314" max="13314" width="10.42578125" style="335" customWidth="1"/>
    <col min="13315" max="13319" width="5" style="335" customWidth="1"/>
    <col min="13320" max="13351" width="2.42578125" style="335" customWidth="1"/>
    <col min="13352" max="13568" width="9.140625" style="335"/>
    <col min="13569" max="13569" width="4.5703125" style="335" customWidth="1"/>
    <col min="13570" max="13570" width="10.42578125" style="335" customWidth="1"/>
    <col min="13571" max="13575" width="5" style="335" customWidth="1"/>
    <col min="13576" max="13607" width="2.42578125" style="335" customWidth="1"/>
    <col min="13608" max="13824" width="9.140625" style="335"/>
    <col min="13825" max="13825" width="4.5703125" style="335" customWidth="1"/>
    <col min="13826" max="13826" width="10.42578125" style="335" customWidth="1"/>
    <col min="13827" max="13831" width="5" style="335" customWidth="1"/>
    <col min="13832" max="13863" width="2.42578125" style="335" customWidth="1"/>
    <col min="13864" max="14080" width="9.140625" style="335"/>
    <col min="14081" max="14081" width="4.5703125" style="335" customWidth="1"/>
    <col min="14082" max="14082" width="10.42578125" style="335" customWidth="1"/>
    <col min="14083" max="14087" width="5" style="335" customWidth="1"/>
    <col min="14088" max="14119" width="2.42578125" style="335" customWidth="1"/>
    <col min="14120" max="14336" width="9.140625" style="335"/>
    <col min="14337" max="14337" width="4.5703125" style="335" customWidth="1"/>
    <col min="14338" max="14338" width="10.42578125" style="335" customWidth="1"/>
    <col min="14339" max="14343" width="5" style="335" customWidth="1"/>
    <col min="14344" max="14375" width="2.42578125" style="335" customWidth="1"/>
    <col min="14376" max="14592" width="9.140625" style="335"/>
    <col min="14593" max="14593" width="4.5703125" style="335" customWidth="1"/>
    <col min="14594" max="14594" width="10.42578125" style="335" customWidth="1"/>
    <col min="14595" max="14599" width="5" style="335" customWidth="1"/>
    <col min="14600" max="14631" width="2.42578125" style="335" customWidth="1"/>
    <col min="14632" max="14848" width="9.140625" style="335"/>
    <col min="14849" max="14849" width="4.5703125" style="335" customWidth="1"/>
    <col min="14850" max="14850" width="10.42578125" style="335" customWidth="1"/>
    <col min="14851" max="14855" width="5" style="335" customWidth="1"/>
    <col min="14856" max="14887" width="2.42578125" style="335" customWidth="1"/>
    <col min="14888" max="15104" width="9.140625" style="335"/>
    <col min="15105" max="15105" width="4.5703125" style="335" customWidth="1"/>
    <col min="15106" max="15106" width="10.42578125" style="335" customWidth="1"/>
    <col min="15107" max="15111" width="5" style="335" customWidth="1"/>
    <col min="15112" max="15143" width="2.42578125" style="335" customWidth="1"/>
    <col min="15144" max="15360" width="9.140625" style="335"/>
    <col min="15361" max="15361" width="4.5703125" style="335" customWidth="1"/>
    <col min="15362" max="15362" width="10.42578125" style="335" customWidth="1"/>
    <col min="15363" max="15367" width="5" style="335" customWidth="1"/>
    <col min="15368" max="15399" width="2.42578125" style="335" customWidth="1"/>
    <col min="15400" max="15616" width="9.140625" style="335"/>
    <col min="15617" max="15617" width="4.5703125" style="335" customWidth="1"/>
    <col min="15618" max="15618" width="10.42578125" style="335" customWidth="1"/>
    <col min="15619" max="15623" width="5" style="335" customWidth="1"/>
    <col min="15624" max="15655" width="2.42578125" style="335" customWidth="1"/>
    <col min="15656" max="15872" width="9.140625" style="335"/>
    <col min="15873" max="15873" width="4.5703125" style="335" customWidth="1"/>
    <col min="15874" max="15874" width="10.42578125" style="335" customWidth="1"/>
    <col min="15875" max="15879" width="5" style="335" customWidth="1"/>
    <col min="15880" max="15911" width="2.42578125" style="335" customWidth="1"/>
    <col min="15912" max="16128" width="9.140625" style="335"/>
    <col min="16129" max="16129" width="4.5703125" style="335" customWidth="1"/>
    <col min="16130" max="16130" width="10.42578125" style="335" customWidth="1"/>
    <col min="16131" max="16135" width="5" style="335" customWidth="1"/>
    <col min="16136" max="16167" width="2.42578125" style="335" customWidth="1"/>
    <col min="16168" max="16384" width="9.140625" style="335"/>
  </cols>
  <sheetData>
    <row r="1" spans="1:39" s="306" customFormat="1" ht="17.25" customHeight="1">
      <c r="A1" s="301"/>
      <c r="B1" s="302"/>
      <c r="C1" s="694" t="s">
        <v>300</v>
      </c>
      <c r="D1" s="694"/>
      <c r="E1" s="694" t="s">
        <v>301</v>
      </c>
      <c r="F1" s="694"/>
      <c r="G1" s="303" t="s">
        <v>302</v>
      </c>
      <c r="H1" s="695" t="s">
        <v>303</v>
      </c>
      <c r="I1" s="695"/>
      <c r="J1" s="695"/>
      <c r="K1" s="695"/>
      <c r="L1" s="695"/>
      <c r="M1" s="695"/>
      <c r="N1" s="692" t="s">
        <v>301</v>
      </c>
      <c r="O1" s="692"/>
      <c r="P1" s="692"/>
      <c r="Q1" s="692"/>
      <c r="R1" s="692"/>
      <c r="S1" s="304"/>
      <c r="T1" s="695" t="s">
        <v>304</v>
      </c>
      <c r="U1" s="695"/>
      <c r="V1" s="695"/>
      <c r="W1" s="695"/>
      <c r="X1" s="695"/>
      <c r="Y1" s="696" t="s">
        <v>305</v>
      </c>
      <c r="Z1" s="696"/>
      <c r="AA1" s="696"/>
      <c r="AB1" s="305"/>
      <c r="AC1" s="691" t="s">
        <v>306</v>
      </c>
      <c r="AD1" s="691"/>
      <c r="AE1" s="691"/>
      <c r="AF1" s="691"/>
      <c r="AG1" s="691"/>
      <c r="AH1" s="691"/>
      <c r="AI1" s="691"/>
      <c r="AJ1" s="691"/>
      <c r="AK1" s="691"/>
      <c r="AL1" s="692">
        <v>3</v>
      </c>
      <c r="AM1" s="693"/>
    </row>
    <row r="2" spans="1:39" s="306" customFormat="1" ht="5.25" customHeight="1">
      <c r="A2" s="307"/>
      <c r="B2" s="308"/>
      <c r="C2" s="309"/>
      <c r="D2" s="309"/>
      <c r="E2" s="309"/>
      <c r="F2" s="309"/>
      <c r="G2" s="310"/>
      <c r="H2" s="309"/>
      <c r="I2" s="309"/>
      <c r="J2" s="309"/>
      <c r="K2" s="309"/>
      <c r="L2" s="309"/>
      <c r="M2" s="309"/>
      <c r="N2" s="309"/>
      <c r="O2" s="309"/>
      <c r="P2" s="309"/>
      <c r="Q2" s="309"/>
      <c r="R2" s="309"/>
      <c r="S2" s="311"/>
      <c r="T2" s="309"/>
      <c r="U2" s="309"/>
      <c r="V2" s="309"/>
      <c r="W2" s="309"/>
      <c r="X2" s="309"/>
      <c r="Y2" s="312"/>
      <c r="Z2" s="312"/>
      <c r="AA2" s="312"/>
      <c r="AB2" s="309"/>
      <c r="AC2" s="309"/>
      <c r="AD2" s="309"/>
      <c r="AE2" s="309"/>
      <c r="AF2" s="309"/>
      <c r="AG2" s="309"/>
      <c r="AH2" s="309"/>
      <c r="AI2" s="309"/>
      <c r="AJ2" s="309"/>
      <c r="AK2" s="309"/>
      <c r="AL2" s="309"/>
      <c r="AM2" s="313"/>
    </row>
    <row r="3" spans="1:39" s="319" customFormat="1" ht="12.75" customHeight="1">
      <c r="A3" s="314" t="s">
        <v>307</v>
      </c>
      <c r="B3" s="315" t="s">
        <v>308</v>
      </c>
      <c r="C3" s="316" t="s">
        <v>309</v>
      </c>
      <c r="D3" s="316" t="s">
        <v>310</v>
      </c>
      <c r="E3" s="316" t="s">
        <v>309</v>
      </c>
      <c r="F3" s="316" t="s">
        <v>310</v>
      </c>
      <c r="G3" s="316" t="s">
        <v>311</v>
      </c>
      <c r="H3" s="317">
        <v>1</v>
      </c>
      <c r="I3" s="317">
        <v>2</v>
      </c>
      <c r="J3" s="317">
        <v>3</v>
      </c>
      <c r="K3" s="317">
        <v>4</v>
      </c>
      <c r="L3" s="317">
        <v>5</v>
      </c>
      <c r="M3" s="317">
        <v>6</v>
      </c>
      <c r="N3" s="317">
        <v>7</v>
      </c>
      <c r="O3" s="317">
        <v>8</v>
      </c>
      <c r="P3" s="317">
        <v>9</v>
      </c>
      <c r="Q3" s="317">
        <v>10</v>
      </c>
      <c r="R3" s="317">
        <v>11</v>
      </c>
      <c r="S3" s="317">
        <v>12</v>
      </c>
      <c r="T3" s="317">
        <v>13</v>
      </c>
      <c r="U3" s="317">
        <v>14</v>
      </c>
      <c r="V3" s="317">
        <v>15</v>
      </c>
      <c r="W3" s="317">
        <v>16</v>
      </c>
      <c r="X3" s="317">
        <v>17</v>
      </c>
      <c r="Y3" s="317">
        <v>18</v>
      </c>
      <c r="Z3" s="317">
        <v>19</v>
      </c>
      <c r="AA3" s="317">
        <v>20</v>
      </c>
      <c r="AB3" s="317">
        <v>21</v>
      </c>
      <c r="AC3" s="317">
        <v>22</v>
      </c>
      <c r="AD3" s="317">
        <v>23</v>
      </c>
      <c r="AE3" s="317">
        <v>24</v>
      </c>
      <c r="AF3" s="317">
        <v>25</v>
      </c>
      <c r="AG3" s="317">
        <v>26</v>
      </c>
      <c r="AH3" s="317">
        <v>27</v>
      </c>
      <c r="AI3" s="317">
        <v>28</v>
      </c>
      <c r="AJ3" s="317">
        <v>29</v>
      </c>
      <c r="AK3" s="317">
        <v>30</v>
      </c>
      <c r="AL3" s="317">
        <v>31</v>
      </c>
      <c r="AM3" s="318">
        <v>32</v>
      </c>
    </row>
    <row r="4" spans="1:39" s="326" customFormat="1" ht="11.25" customHeight="1">
      <c r="A4" s="320">
        <v>1</v>
      </c>
      <c r="B4" s="321" t="s">
        <v>312</v>
      </c>
      <c r="C4" s="322">
        <v>1</v>
      </c>
      <c r="D4" s="322">
        <v>5</v>
      </c>
      <c r="E4" s="322">
        <v>1</v>
      </c>
      <c r="F4" s="322">
        <v>2</v>
      </c>
      <c r="G4" s="323">
        <v>0</v>
      </c>
      <c r="H4" s="324" t="str">
        <f t="shared" ref="H4:Q13" si="0">IF($N$1=INDEX(ganttTypes,1),IF(AND(H$3&gt;=$C4,H$3&lt;=$C4+$D4),IF($C4+$D4*$G4&gt;H$3,$Y$1,""),""),IF(AND(H$3&gt;=$E4,H$3&lt;=$E4+$F4),IF($E4+$F4*$G4&gt;H$3,$Y$1,""),""))</f>
        <v/>
      </c>
      <c r="I4" s="324" t="str">
        <f t="shared" si="0"/>
        <v/>
      </c>
      <c r="J4" s="324" t="str">
        <f t="shared" si="0"/>
        <v/>
      </c>
      <c r="K4" s="324" t="str">
        <f t="shared" si="0"/>
        <v/>
      </c>
      <c r="L4" s="324" t="str">
        <f t="shared" si="0"/>
        <v/>
      </c>
      <c r="M4" s="324" t="str">
        <f t="shared" si="0"/>
        <v/>
      </c>
      <c r="N4" s="324" t="str">
        <f t="shared" si="0"/>
        <v/>
      </c>
      <c r="O4" s="324" t="str">
        <f t="shared" si="0"/>
        <v/>
      </c>
      <c r="P4" s="324" t="str">
        <f t="shared" si="0"/>
        <v/>
      </c>
      <c r="Q4" s="324" t="str">
        <f t="shared" si="0"/>
        <v/>
      </c>
      <c r="R4" s="324" t="str">
        <f t="shared" ref="R4:AA13" si="1">IF($N$1=INDEX(ganttTypes,1),IF(AND(R$3&gt;=$C4,R$3&lt;=$C4+$D4),IF($C4+$D4*$G4&gt;R$3,$Y$1,""),""),IF(AND(R$3&gt;=$E4,R$3&lt;=$E4+$F4),IF($E4+$F4*$G4&gt;R$3,$Y$1,""),""))</f>
        <v/>
      </c>
      <c r="S4" s="324" t="str">
        <f t="shared" si="1"/>
        <v/>
      </c>
      <c r="T4" s="324" t="str">
        <f t="shared" si="1"/>
        <v/>
      </c>
      <c r="U4" s="324" t="str">
        <f t="shared" si="1"/>
        <v/>
      </c>
      <c r="V4" s="324" t="str">
        <f t="shared" si="1"/>
        <v/>
      </c>
      <c r="W4" s="324" t="str">
        <f t="shared" si="1"/>
        <v/>
      </c>
      <c r="X4" s="324" t="str">
        <f t="shared" si="1"/>
        <v/>
      </c>
      <c r="Y4" s="324" t="str">
        <f t="shared" si="1"/>
        <v/>
      </c>
      <c r="Z4" s="324" t="str">
        <f t="shared" si="1"/>
        <v/>
      </c>
      <c r="AA4" s="324" t="str">
        <f t="shared" si="1"/>
        <v/>
      </c>
      <c r="AB4" s="324" t="str">
        <f t="shared" ref="AB4:AM13" si="2">IF($N$1=INDEX(ganttTypes,1),IF(AND(AB$3&gt;=$C4,AB$3&lt;=$C4+$D4),IF($C4+$D4*$G4&gt;AB$3,$Y$1,""),""),IF(AND(AB$3&gt;=$E4,AB$3&lt;=$E4+$F4),IF($E4+$F4*$G4&gt;AB$3,$Y$1,""),""))</f>
        <v/>
      </c>
      <c r="AC4" s="324" t="str">
        <f t="shared" si="2"/>
        <v/>
      </c>
      <c r="AD4" s="324" t="str">
        <f t="shared" si="2"/>
        <v/>
      </c>
      <c r="AE4" s="324" t="str">
        <f t="shared" si="2"/>
        <v/>
      </c>
      <c r="AF4" s="324" t="str">
        <f t="shared" si="2"/>
        <v/>
      </c>
      <c r="AG4" s="324" t="str">
        <f t="shared" si="2"/>
        <v/>
      </c>
      <c r="AH4" s="324" t="str">
        <f t="shared" si="2"/>
        <v/>
      </c>
      <c r="AI4" s="324" t="str">
        <f t="shared" si="2"/>
        <v/>
      </c>
      <c r="AJ4" s="324" t="str">
        <f t="shared" si="2"/>
        <v/>
      </c>
      <c r="AK4" s="324" t="str">
        <f t="shared" si="2"/>
        <v/>
      </c>
      <c r="AL4" s="324" t="str">
        <f t="shared" si="2"/>
        <v/>
      </c>
      <c r="AM4" s="325" t="str">
        <f t="shared" si="2"/>
        <v/>
      </c>
    </row>
    <row r="5" spans="1:39" s="326" customFormat="1" ht="11.25" customHeight="1">
      <c r="A5" s="320">
        <v>2</v>
      </c>
      <c r="B5" s="321" t="s">
        <v>313</v>
      </c>
      <c r="C5" s="322">
        <v>1</v>
      </c>
      <c r="D5" s="322">
        <v>5</v>
      </c>
      <c r="E5" s="322">
        <v>1</v>
      </c>
      <c r="F5" s="322">
        <v>6</v>
      </c>
      <c r="G5" s="323">
        <v>0.57999999999999996</v>
      </c>
      <c r="H5" s="324" t="str">
        <f t="shared" si="0"/>
        <v>█</v>
      </c>
      <c r="I5" s="324" t="str">
        <f t="shared" si="0"/>
        <v>█</v>
      </c>
      <c r="J5" s="324" t="str">
        <f t="shared" si="0"/>
        <v>█</v>
      </c>
      <c r="K5" s="324" t="str">
        <f t="shared" si="0"/>
        <v>█</v>
      </c>
      <c r="L5" s="324" t="str">
        <f t="shared" si="0"/>
        <v/>
      </c>
      <c r="M5" s="324" t="str">
        <f t="shared" si="0"/>
        <v/>
      </c>
      <c r="N5" s="324" t="str">
        <f t="shared" si="0"/>
        <v/>
      </c>
      <c r="O5" s="324" t="str">
        <f t="shared" si="0"/>
        <v/>
      </c>
      <c r="P5" s="324" t="str">
        <f t="shared" si="0"/>
        <v/>
      </c>
      <c r="Q5" s="324" t="str">
        <f t="shared" si="0"/>
        <v/>
      </c>
      <c r="R5" s="324" t="str">
        <f t="shared" si="1"/>
        <v/>
      </c>
      <c r="S5" s="324" t="str">
        <f t="shared" si="1"/>
        <v/>
      </c>
      <c r="T5" s="324" t="str">
        <f t="shared" si="1"/>
        <v/>
      </c>
      <c r="U5" s="324" t="str">
        <f t="shared" si="1"/>
        <v/>
      </c>
      <c r="V5" s="324" t="str">
        <f t="shared" si="1"/>
        <v/>
      </c>
      <c r="W5" s="324" t="str">
        <f t="shared" si="1"/>
        <v/>
      </c>
      <c r="X5" s="324" t="str">
        <f t="shared" si="1"/>
        <v/>
      </c>
      <c r="Y5" s="324" t="str">
        <f t="shared" si="1"/>
        <v/>
      </c>
      <c r="Z5" s="324" t="str">
        <f t="shared" si="1"/>
        <v/>
      </c>
      <c r="AA5" s="324" t="str">
        <f t="shared" si="1"/>
        <v/>
      </c>
      <c r="AB5" s="324" t="str">
        <f t="shared" si="2"/>
        <v/>
      </c>
      <c r="AC5" s="324" t="str">
        <f t="shared" si="2"/>
        <v/>
      </c>
      <c r="AD5" s="324" t="str">
        <f t="shared" si="2"/>
        <v/>
      </c>
      <c r="AE5" s="324" t="str">
        <f t="shared" si="2"/>
        <v/>
      </c>
      <c r="AF5" s="324" t="str">
        <f t="shared" si="2"/>
        <v/>
      </c>
      <c r="AG5" s="324" t="str">
        <f t="shared" si="2"/>
        <v/>
      </c>
      <c r="AH5" s="324" t="str">
        <f t="shared" si="2"/>
        <v/>
      </c>
      <c r="AI5" s="324" t="str">
        <f t="shared" si="2"/>
        <v/>
      </c>
      <c r="AJ5" s="324" t="str">
        <f t="shared" si="2"/>
        <v/>
      </c>
      <c r="AK5" s="324" t="str">
        <f t="shared" si="2"/>
        <v/>
      </c>
      <c r="AL5" s="324" t="str">
        <f t="shared" si="2"/>
        <v/>
      </c>
      <c r="AM5" s="325" t="str">
        <f t="shared" si="2"/>
        <v/>
      </c>
    </row>
    <row r="6" spans="1:39" s="326" customFormat="1" ht="11.25" customHeight="1">
      <c r="A6" s="320">
        <v>3</v>
      </c>
      <c r="B6" s="321" t="s">
        <v>314</v>
      </c>
      <c r="C6" s="322">
        <v>2</v>
      </c>
      <c r="D6" s="322">
        <v>4</v>
      </c>
      <c r="E6" s="322">
        <v>2</v>
      </c>
      <c r="F6" s="322">
        <v>5</v>
      </c>
      <c r="G6" s="323">
        <v>0.35</v>
      </c>
      <c r="H6" s="324" t="str">
        <f t="shared" si="0"/>
        <v/>
      </c>
      <c r="I6" s="324" t="str">
        <f t="shared" si="0"/>
        <v>█</v>
      </c>
      <c r="J6" s="324" t="str">
        <f t="shared" si="0"/>
        <v>█</v>
      </c>
      <c r="K6" s="324" t="str">
        <f t="shared" si="0"/>
        <v/>
      </c>
      <c r="L6" s="324" t="str">
        <f t="shared" si="0"/>
        <v/>
      </c>
      <c r="M6" s="324" t="str">
        <f t="shared" si="0"/>
        <v/>
      </c>
      <c r="N6" s="324" t="str">
        <f t="shared" si="0"/>
        <v/>
      </c>
      <c r="O6" s="324" t="str">
        <f t="shared" si="0"/>
        <v/>
      </c>
      <c r="P6" s="324" t="str">
        <f t="shared" si="0"/>
        <v/>
      </c>
      <c r="Q6" s="324" t="str">
        <f t="shared" si="0"/>
        <v/>
      </c>
      <c r="R6" s="324" t="str">
        <f t="shared" si="1"/>
        <v/>
      </c>
      <c r="S6" s="324" t="str">
        <f t="shared" si="1"/>
        <v/>
      </c>
      <c r="T6" s="324" t="str">
        <f t="shared" si="1"/>
        <v/>
      </c>
      <c r="U6" s="324" t="str">
        <f t="shared" si="1"/>
        <v/>
      </c>
      <c r="V6" s="324" t="str">
        <f t="shared" si="1"/>
        <v/>
      </c>
      <c r="W6" s="324" t="str">
        <f t="shared" si="1"/>
        <v/>
      </c>
      <c r="X6" s="324" t="str">
        <f t="shared" si="1"/>
        <v/>
      </c>
      <c r="Y6" s="324" t="str">
        <f t="shared" si="1"/>
        <v/>
      </c>
      <c r="Z6" s="324" t="str">
        <f t="shared" si="1"/>
        <v/>
      </c>
      <c r="AA6" s="324" t="str">
        <f t="shared" si="1"/>
        <v/>
      </c>
      <c r="AB6" s="324" t="str">
        <f t="shared" si="2"/>
        <v/>
      </c>
      <c r="AC6" s="324" t="str">
        <f t="shared" si="2"/>
        <v/>
      </c>
      <c r="AD6" s="324" t="str">
        <f t="shared" si="2"/>
        <v/>
      </c>
      <c r="AE6" s="324" t="str">
        <f t="shared" si="2"/>
        <v/>
      </c>
      <c r="AF6" s="324" t="str">
        <f t="shared" si="2"/>
        <v/>
      </c>
      <c r="AG6" s="324" t="str">
        <f t="shared" si="2"/>
        <v/>
      </c>
      <c r="AH6" s="324" t="str">
        <f t="shared" si="2"/>
        <v/>
      </c>
      <c r="AI6" s="324" t="str">
        <f t="shared" si="2"/>
        <v/>
      </c>
      <c r="AJ6" s="324" t="str">
        <f t="shared" si="2"/>
        <v/>
      </c>
      <c r="AK6" s="324" t="str">
        <f t="shared" si="2"/>
        <v/>
      </c>
      <c r="AL6" s="324" t="str">
        <f t="shared" si="2"/>
        <v/>
      </c>
      <c r="AM6" s="325" t="str">
        <f t="shared" si="2"/>
        <v/>
      </c>
    </row>
    <row r="7" spans="1:39" s="326" customFormat="1" ht="11.25" customHeight="1">
      <c r="A7" s="320">
        <v>4</v>
      </c>
      <c r="B7" s="321" t="s">
        <v>315</v>
      </c>
      <c r="C7" s="322">
        <v>4</v>
      </c>
      <c r="D7" s="322">
        <v>8</v>
      </c>
      <c r="E7" s="322">
        <v>2</v>
      </c>
      <c r="F7" s="322">
        <v>6</v>
      </c>
      <c r="G7" s="323">
        <v>0.1</v>
      </c>
      <c r="H7" s="324" t="str">
        <f t="shared" si="0"/>
        <v/>
      </c>
      <c r="I7" s="324" t="str">
        <f t="shared" si="0"/>
        <v>█</v>
      </c>
      <c r="J7" s="324" t="str">
        <f t="shared" si="0"/>
        <v/>
      </c>
      <c r="K7" s="324" t="str">
        <f t="shared" si="0"/>
        <v/>
      </c>
      <c r="L7" s="324" t="str">
        <f t="shared" si="0"/>
        <v/>
      </c>
      <c r="M7" s="324" t="str">
        <f t="shared" si="0"/>
        <v/>
      </c>
      <c r="N7" s="324" t="str">
        <f t="shared" si="0"/>
        <v/>
      </c>
      <c r="O7" s="324" t="str">
        <f t="shared" si="0"/>
        <v/>
      </c>
      <c r="P7" s="324" t="str">
        <f t="shared" si="0"/>
        <v/>
      </c>
      <c r="Q7" s="324" t="str">
        <f t="shared" si="0"/>
        <v/>
      </c>
      <c r="R7" s="324" t="str">
        <f t="shared" si="1"/>
        <v/>
      </c>
      <c r="S7" s="324" t="str">
        <f t="shared" si="1"/>
        <v/>
      </c>
      <c r="T7" s="324" t="str">
        <f t="shared" si="1"/>
        <v/>
      </c>
      <c r="U7" s="324" t="str">
        <f t="shared" si="1"/>
        <v/>
      </c>
      <c r="V7" s="324" t="str">
        <f t="shared" si="1"/>
        <v/>
      </c>
      <c r="W7" s="324" t="str">
        <f t="shared" si="1"/>
        <v/>
      </c>
      <c r="X7" s="324" t="str">
        <f t="shared" si="1"/>
        <v/>
      </c>
      <c r="Y7" s="324" t="str">
        <f t="shared" si="1"/>
        <v/>
      </c>
      <c r="Z7" s="324" t="str">
        <f t="shared" si="1"/>
        <v/>
      </c>
      <c r="AA7" s="324" t="str">
        <f t="shared" si="1"/>
        <v/>
      </c>
      <c r="AB7" s="324" t="str">
        <f t="shared" si="2"/>
        <v/>
      </c>
      <c r="AC7" s="324" t="str">
        <f t="shared" si="2"/>
        <v/>
      </c>
      <c r="AD7" s="324" t="str">
        <f t="shared" si="2"/>
        <v/>
      </c>
      <c r="AE7" s="324" t="str">
        <f t="shared" si="2"/>
        <v/>
      </c>
      <c r="AF7" s="324" t="str">
        <f t="shared" si="2"/>
        <v/>
      </c>
      <c r="AG7" s="324" t="str">
        <f t="shared" si="2"/>
        <v/>
      </c>
      <c r="AH7" s="324" t="str">
        <f t="shared" si="2"/>
        <v/>
      </c>
      <c r="AI7" s="324" t="str">
        <f t="shared" si="2"/>
        <v/>
      </c>
      <c r="AJ7" s="324" t="str">
        <f t="shared" si="2"/>
        <v/>
      </c>
      <c r="AK7" s="324" t="str">
        <f t="shared" si="2"/>
        <v/>
      </c>
      <c r="AL7" s="324" t="str">
        <f t="shared" si="2"/>
        <v/>
      </c>
      <c r="AM7" s="325" t="str">
        <f t="shared" si="2"/>
        <v/>
      </c>
    </row>
    <row r="8" spans="1:39" s="326" customFormat="1" ht="11.25" customHeight="1">
      <c r="A8" s="320">
        <v>5</v>
      </c>
      <c r="B8" s="321" t="s">
        <v>316</v>
      </c>
      <c r="C8" s="322">
        <v>4</v>
      </c>
      <c r="D8" s="322">
        <v>1</v>
      </c>
      <c r="E8" s="322">
        <v>3</v>
      </c>
      <c r="F8" s="322">
        <v>8</v>
      </c>
      <c r="G8" s="323">
        <v>0</v>
      </c>
      <c r="H8" s="324" t="str">
        <f t="shared" si="0"/>
        <v/>
      </c>
      <c r="I8" s="324" t="str">
        <f t="shared" si="0"/>
        <v/>
      </c>
      <c r="J8" s="324" t="str">
        <f t="shared" si="0"/>
        <v/>
      </c>
      <c r="K8" s="324" t="str">
        <f t="shared" si="0"/>
        <v/>
      </c>
      <c r="L8" s="324" t="str">
        <f t="shared" si="0"/>
        <v/>
      </c>
      <c r="M8" s="324" t="str">
        <f t="shared" si="0"/>
        <v/>
      </c>
      <c r="N8" s="324" t="str">
        <f t="shared" si="0"/>
        <v/>
      </c>
      <c r="O8" s="324" t="str">
        <f t="shared" si="0"/>
        <v/>
      </c>
      <c r="P8" s="324" t="str">
        <f t="shared" si="0"/>
        <v/>
      </c>
      <c r="Q8" s="324" t="str">
        <f t="shared" si="0"/>
        <v/>
      </c>
      <c r="R8" s="324" t="str">
        <f t="shared" si="1"/>
        <v/>
      </c>
      <c r="S8" s="324" t="str">
        <f t="shared" si="1"/>
        <v/>
      </c>
      <c r="T8" s="324" t="str">
        <f t="shared" si="1"/>
        <v/>
      </c>
      <c r="U8" s="324" t="str">
        <f t="shared" si="1"/>
        <v/>
      </c>
      <c r="V8" s="324" t="str">
        <f t="shared" si="1"/>
        <v/>
      </c>
      <c r="W8" s="324" t="str">
        <f t="shared" si="1"/>
        <v/>
      </c>
      <c r="X8" s="324" t="str">
        <f t="shared" si="1"/>
        <v/>
      </c>
      <c r="Y8" s="324" t="str">
        <f t="shared" si="1"/>
        <v/>
      </c>
      <c r="Z8" s="324" t="str">
        <f t="shared" si="1"/>
        <v/>
      </c>
      <c r="AA8" s="324" t="str">
        <f t="shared" si="1"/>
        <v/>
      </c>
      <c r="AB8" s="324" t="str">
        <f t="shared" si="2"/>
        <v/>
      </c>
      <c r="AC8" s="324" t="str">
        <f t="shared" si="2"/>
        <v/>
      </c>
      <c r="AD8" s="324" t="str">
        <f t="shared" si="2"/>
        <v/>
      </c>
      <c r="AE8" s="324" t="str">
        <f t="shared" si="2"/>
        <v/>
      </c>
      <c r="AF8" s="324" t="str">
        <f t="shared" si="2"/>
        <v/>
      </c>
      <c r="AG8" s="324" t="str">
        <f t="shared" si="2"/>
        <v/>
      </c>
      <c r="AH8" s="324" t="str">
        <f t="shared" si="2"/>
        <v/>
      </c>
      <c r="AI8" s="324" t="str">
        <f t="shared" si="2"/>
        <v/>
      </c>
      <c r="AJ8" s="324" t="str">
        <f t="shared" si="2"/>
        <v/>
      </c>
      <c r="AK8" s="324" t="str">
        <f t="shared" si="2"/>
        <v/>
      </c>
      <c r="AL8" s="324" t="str">
        <f t="shared" si="2"/>
        <v/>
      </c>
      <c r="AM8" s="325" t="str">
        <f t="shared" si="2"/>
        <v/>
      </c>
    </row>
    <row r="9" spans="1:39" s="326" customFormat="1" ht="11.25" customHeight="1">
      <c r="A9" s="320">
        <v>6</v>
      </c>
      <c r="B9" s="321" t="s">
        <v>317</v>
      </c>
      <c r="C9" s="322">
        <v>4</v>
      </c>
      <c r="D9" s="322">
        <v>3</v>
      </c>
      <c r="E9" s="322">
        <v>4</v>
      </c>
      <c r="F9" s="322">
        <v>6</v>
      </c>
      <c r="G9" s="323">
        <v>0</v>
      </c>
      <c r="H9" s="324" t="str">
        <f t="shared" si="0"/>
        <v/>
      </c>
      <c r="I9" s="324" t="str">
        <f t="shared" si="0"/>
        <v/>
      </c>
      <c r="J9" s="324" t="str">
        <f t="shared" si="0"/>
        <v/>
      </c>
      <c r="K9" s="324" t="str">
        <f t="shared" si="0"/>
        <v/>
      </c>
      <c r="L9" s="324" t="str">
        <f t="shared" si="0"/>
        <v/>
      </c>
      <c r="M9" s="324" t="str">
        <f t="shared" si="0"/>
        <v/>
      </c>
      <c r="N9" s="324" t="str">
        <f t="shared" si="0"/>
        <v/>
      </c>
      <c r="O9" s="324" t="str">
        <f t="shared" si="0"/>
        <v/>
      </c>
      <c r="P9" s="324" t="str">
        <f t="shared" si="0"/>
        <v/>
      </c>
      <c r="Q9" s="324" t="str">
        <f t="shared" si="0"/>
        <v/>
      </c>
      <c r="R9" s="324" t="str">
        <f t="shared" si="1"/>
        <v/>
      </c>
      <c r="S9" s="324" t="str">
        <f t="shared" si="1"/>
        <v/>
      </c>
      <c r="T9" s="324" t="str">
        <f t="shared" si="1"/>
        <v/>
      </c>
      <c r="U9" s="324" t="str">
        <f t="shared" si="1"/>
        <v/>
      </c>
      <c r="V9" s="324" t="str">
        <f t="shared" si="1"/>
        <v/>
      </c>
      <c r="W9" s="324" t="str">
        <f t="shared" si="1"/>
        <v/>
      </c>
      <c r="X9" s="324" t="str">
        <f t="shared" si="1"/>
        <v/>
      </c>
      <c r="Y9" s="324" t="str">
        <f t="shared" si="1"/>
        <v/>
      </c>
      <c r="Z9" s="324" t="str">
        <f t="shared" si="1"/>
        <v/>
      </c>
      <c r="AA9" s="324" t="str">
        <f t="shared" si="1"/>
        <v/>
      </c>
      <c r="AB9" s="324" t="str">
        <f t="shared" si="2"/>
        <v/>
      </c>
      <c r="AC9" s="324" t="str">
        <f t="shared" si="2"/>
        <v/>
      </c>
      <c r="AD9" s="324" t="str">
        <f t="shared" si="2"/>
        <v/>
      </c>
      <c r="AE9" s="324" t="str">
        <f t="shared" si="2"/>
        <v/>
      </c>
      <c r="AF9" s="324" t="str">
        <f t="shared" si="2"/>
        <v/>
      </c>
      <c r="AG9" s="324" t="str">
        <f t="shared" si="2"/>
        <v/>
      </c>
      <c r="AH9" s="324" t="str">
        <f t="shared" si="2"/>
        <v/>
      </c>
      <c r="AI9" s="324" t="str">
        <f t="shared" si="2"/>
        <v/>
      </c>
      <c r="AJ9" s="324" t="str">
        <f t="shared" si="2"/>
        <v/>
      </c>
      <c r="AK9" s="324" t="str">
        <f t="shared" si="2"/>
        <v/>
      </c>
      <c r="AL9" s="324" t="str">
        <f t="shared" si="2"/>
        <v/>
      </c>
      <c r="AM9" s="325" t="str">
        <f t="shared" si="2"/>
        <v/>
      </c>
    </row>
    <row r="10" spans="1:39" s="326" customFormat="1" ht="11.25" customHeight="1">
      <c r="A10" s="320">
        <v>7</v>
      </c>
      <c r="B10" s="321" t="s">
        <v>318</v>
      </c>
      <c r="C10" s="322">
        <v>5</v>
      </c>
      <c r="D10" s="322">
        <v>4</v>
      </c>
      <c r="E10" s="322">
        <v>4</v>
      </c>
      <c r="F10" s="322">
        <v>3</v>
      </c>
      <c r="G10" s="323">
        <v>0</v>
      </c>
      <c r="H10" s="324" t="str">
        <f t="shared" si="0"/>
        <v/>
      </c>
      <c r="I10" s="324" t="str">
        <f t="shared" si="0"/>
        <v/>
      </c>
      <c r="J10" s="324" t="str">
        <f t="shared" si="0"/>
        <v/>
      </c>
      <c r="K10" s="324" t="str">
        <f t="shared" si="0"/>
        <v/>
      </c>
      <c r="L10" s="324" t="str">
        <f t="shared" si="0"/>
        <v/>
      </c>
      <c r="M10" s="324" t="str">
        <f t="shared" si="0"/>
        <v/>
      </c>
      <c r="N10" s="324" t="str">
        <f t="shared" si="0"/>
        <v/>
      </c>
      <c r="O10" s="324" t="str">
        <f t="shared" si="0"/>
        <v/>
      </c>
      <c r="P10" s="324" t="str">
        <f t="shared" si="0"/>
        <v/>
      </c>
      <c r="Q10" s="324" t="str">
        <f t="shared" si="0"/>
        <v/>
      </c>
      <c r="R10" s="324" t="str">
        <f t="shared" si="1"/>
        <v/>
      </c>
      <c r="S10" s="324" t="str">
        <f t="shared" si="1"/>
        <v/>
      </c>
      <c r="T10" s="324" t="str">
        <f t="shared" si="1"/>
        <v/>
      </c>
      <c r="U10" s="324" t="str">
        <f t="shared" si="1"/>
        <v/>
      </c>
      <c r="V10" s="324" t="str">
        <f t="shared" si="1"/>
        <v/>
      </c>
      <c r="W10" s="324" t="str">
        <f t="shared" si="1"/>
        <v/>
      </c>
      <c r="X10" s="324" t="str">
        <f t="shared" si="1"/>
        <v/>
      </c>
      <c r="Y10" s="324" t="str">
        <f t="shared" si="1"/>
        <v/>
      </c>
      <c r="Z10" s="324" t="str">
        <f t="shared" si="1"/>
        <v/>
      </c>
      <c r="AA10" s="324" t="str">
        <f t="shared" si="1"/>
        <v/>
      </c>
      <c r="AB10" s="324" t="str">
        <f t="shared" si="2"/>
        <v/>
      </c>
      <c r="AC10" s="324" t="str">
        <f t="shared" si="2"/>
        <v/>
      </c>
      <c r="AD10" s="324" t="str">
        <f t="shared" si="2"/>
        <v/>
      </c>
      <c r="AE10" s="324" t="str">
        <f t="shared" si="2"/>
        <v/>
      </c>
      <c r="AF10" s="324" t="str">
        <f t="shared" si="2"/>
        <v/>
      </c>
      <c r="AG10" s="324" t="str">
        <f t="shared" si="2"/>
        <v/>
      </c>
      <c r="AH10" s="324" t="str">
        <f t="shared" si="2"/>
        <v/>
      </c>
      <c r="AI10" s="324" t="str">
        <f t="shared" si="2"/>
        <v/>
      </c>
      <c r="AJ10" s="324" t="str">
        <f t="shared" si="2"/>
        <v/>
      </c>
      <c r="AK10" s="324" t="str">
        <f t="shared" si="2"/>
        <v/>
      </c>
      <c r="AL10" s="324" t="str">
        <f t="shared" si="2"/>
        <v/>
      </c>
      <c r="AM10" s="325" t="str">
        <f t="shared" si="2"/>
        <v/>
      </c>
    </row>
    <row r="11" spans="1:39" s="326" customFormat="1" ht="11.25" customHeight="1">
      <c r="A11" s="320">
        <v>8</v>
      </c>
      <c r="B11" s="321" t="s">
        <v>319</v>
      </c>
      <c r="C11" s="322">
        <v>5</v>
      </c>
      <c r="D11" s="322">
        <v>2</v>
      </c>
      <c r="E11" s="322">
        <v>4</v>
      </c>
      <c r="F11" s="322">
        <v>5</v>
      </c>
      <c r="G11" s="323">
        <v>0</v>
      </c>
      <c r="H11" s="324" t="str">
        <f t="shared" si="0"/>
        <v/>
      </c>
      <c r="I11" s="324" t="str">
        <f t="shared" si="0"/>
        <v/>
      </c>
      <c r="J11" s="324" t="str">
        <f t="shared" si="0"/>
        <v/>
      </c>
      <c r="K11" s="324" t="str">
        <f t="shared" si="0"/>
        <v/>
      </c>
      <c r="L11" s="324" t="str">
        <f t="shared" si="0"/>
        <v/>
      </c>
      <c r="M11" s="324" t="str">
        <f t="shared" si="0"/>
        <v/>
      </c>
      <c r="N11" s="324" t="str">
        <f t="shared" si="0"/>
        <v/>
      </c>
      <c r="O11" s="324" t="str">
        <f t="shared" si="0"/>
        <v/>
      </c>
      <c r="P11" s="324" t="str">
        <f t="shared" si="0"/>
        <v/>
      </c>
      <c r="Q11" s="324" t="str">
        <f t="shared" si="0"/>
        <v/>
      </c>
      <c r="R11" s="324" t="str">
        <f t="shared" si="1"/>
        <v/>
      </c>
      <c r="S11" s="324" t="str">
        <f t="shared" si="1"/>
        <v/>
      </c>
      <c r="T11" s="324" t="str">
        <f t="shared" si="1"/>
        <v/>
      </c>
      <c r="U11" s="324" t="str">
        <f t="shared" si="1"/>
        <v/>
      </c>
      <c r="V11" s="324" t="str">
        <f t="shared" si="1"/>
        <v/>
      </c>
      <c r="W11" s="324" t="str">
        <f t="shared" si="1"/>
        <v/>
      </c>
      <c r="X11" s="324" t="str">
        <f t="shared" si="1"/>
        <v/>
      </c>
      <c r="Y11" s="324" t="str">
        <f t="shared" si="1"/>
        <v/>
      </c>
      <c r="Z11" s="324" t="str">
        <f t="shared" si="1"/>
        <v/>
      </c>
      <c r="AA11" s="324" t="str">
        <f t="shared" si="1"/>
        <v/>
      </c>
      <c r="AB11" s="324" t="str">
        <f t="shared" si="2"/>
        <v/>
      </c>
      <c r="AC11" s="324" t="str">
        <f t="shared" si="2"/>
        <v/>
      </c>
      <c r="AD11" s="324" t="str">
        <f t="shared" si="2"/>
        <v/>
      </c>
      <c r="AE11" s="324" t="str">
        <f t="shared" si="2"/>
        <v/>
      </c>
      <c r="AF11" s="324" t="str">
        <f t="shared" si="2"/>
        <v/>
      </c>
      <c r="AG11" s="324" t="str">
        <f t="shared" si="2"/>
        <v/>
      </c>
      <c r="AH11" s="324" t="str">
        <f t="shared" si="2"/>
        <v/>
      </c>
      <c r="AI11" s="324" t="str">
        <f t="shared" si="2"/>
        <v/>
      </c>
      <c r="AJ11" s="324" t="str">
        <f t="shared" si="2"/>
        <v/>
      </c>
      <c r="AK11" s="324" t="str">
        <f t="shared" si="2"/>
        <v/>
      </c>
      <c r="AL11" s="324" t="str">
        <f t="shared" si="2"/>
        <v/>
      </c>
      <c r="AM11" s="325" t="str">
        <f t="shared" si="2"/>
        <v/>
      </c>
    </row>
    <row r="12" spans="1:39" s="326" customFormat="1" ht="11.25" customHeight="1">
      <c r="A12" s="320">
        <v>9</v>
      </c>
      <c r="B12" s="321" t="s">
        <v>320</v>
      </c>
      <c r="C12" s="322">
        <v>5</v>
      </c>
      <c r="D12" s="322">
        <v>2</v>
      </c>
      <c r="E12" s="322">
        <v>4</v>
      </c>
      <c r="F12" s="322">
        <v>6</v>
      </c>
      <c r="G12" s="323">
        <v>0</v>
      </c>
      <c r="H12" s="324" t="str">
        <f t="shared" si="0"/>
        <v/>
      </c>
      <c r="I12" s="324" t="str">
        <f t="shared" si="0"/>
        <v/>
      </c>
      <c r="J12" s="324" t="str">
        <f t="shared" si="0"/>
        <v/>
      </c>
      <c r="K12" s="324" t="str">
        <f t="shared" si="0"/>
        <v/>
      </c>
      <c r="L12" s="324" t="str">
        <f t="shared" si="0"/>
        <v/>
      </c>
      <c r="M12" s="324" t="str">
        <f t="shared" si="0"/>
        <v/>
      </c>
      <c r="N12" s="324" t="str">
        <f t="shared" si="0"/>
        <v/>
      </c>
      <c r="O12" s="324" t="str">
        <f t="shared" si="0"/>
        <v/>
      </c>
      <c r="P12" s="324" t="str">
        <f t="shared" si="0"/>
        <v/>
      </c>
      <c r="Q12" s="324" t="str">
        <f t="shared" si="0"/>
        <v/>
      </c>
      <c r="R12" s="324" t="str">
        <f t="shared" si="1"/>
        <v/>
      </c>
      <c r="S12" s="324" t="str">
        <f t="shared" si="1"/>
        <v/>
      </c>
      <c r="T12" s="324" t="str">
        <f t="shared" si="1"/>
        <v/>
      </c>
      <c r="U12" s="324" t="str">
        <f t="shared" si="1"/>
        <v/>
      </c>
      <c r="V12" s="324" t="str">
        <f t="shared" si="1"/>
        <v/>
      </c>
      <c r="W12" s="324" t="str">
        <f t="shared" si="1"/>
        <v/>
      </c>
      <c r="X12" s="324" t="str">
        <f t="shared" si="1"/>
        <v/>
      </c>
      <c r="Y12" s="324" t="str">
        <f t="shared" si="1"/>
        <v/>
      </c>
      <c r="Z12" s="324" t="str">
        <f t="shared" si="1"/>
        <v/>
      </c>
      <c r="AA12" s="324" t="str">
        <f t="shared" si="1"/>
        <v/>
      </c>
      <c r="AB12" s="324" t="str">
        <f t="shared" si="2"/>
        <v/>
      </c>
      <c r="AC12" s="324" t="str">
        <f t="shared" si="2"/>
        <v/>
      </c>
      <c r="AD12" s="324" t="str">
        <f t="shared" si="2"/>
        <v/>
      </c>
      <c r="AE12" s="324" t="str">
        <f t="shared" si="2"/>
        <v/>
      </c>
      <c r="AF12" s="324" t="str">
        <f t="shared" si="2"/>
        <v/>
      </c>
      <c r="AG12" s="324" t="str">
        <f t="shared" si="2"/>
        <v/>
      </c>
      <c r="AH12" s="324" t="str">
        <f t="shared" si="2"/>
        <v/>
      </c>
      <c r="AI12" s="324" t="str">
        <f t="shared" si="2"/>
        <v/>
      </c>
      <c r="AJ12" s="324" t="str">
        <f t="shared" si="2"/>
        <v/>
      </c>
      <c r="AK12" s="324" t="str">
        <f t="shared" si="2"/>
        <v/>
      </c>
      <c r="AL12" s="324" t="str">
        <f t="shared" si="2"/>
        <v/>
      </c>
      <c r="AM12" s="325" t="str">
        <f t="shared" si="2"/>
        <v/>
      </c>
    </row>
    <row r="13" spans="1:39" s="326" customFormat="1" ht="11.25" customHeight="1">
      <c r="A13" s="320">
        <v>10</v>
      </c>
      <c r="B13" s="321" t="s">
        <v>321</v>
      </c>
      <c r="C13" s="322">
        <v>6</v>
      </c>
      <c r="D13" s="322">
        <v>5</v>
      </c>
      <c r="E13" s="322">
        <v>6</v>
      </c>
      <c r="F13" s="322">
        <v>7</v>
      </c>
      <c r="G13" s="323">
        <v>0</v>
      </c>
      <c r="H13" s="324" t="str">
        <f t="shared" si="0"/>
        <v/>
      </c>
      <c r="I13" s="324" t="str">
        <f t="shared" si="0"/>
        <v/>
      </c>
      <c r="J13" s="324" t="str">
        <f t="shared" si="0"/>
        <v/>
      </c>
      <c r="K13" s="324" t="str">
        <f t="shared" si="0"/>
        <v/>
      </c>
      <c r="L13" s="324" t="str">
        <f t="shared" si="0"/>
        <v/>
      </c>
      <c r="M13" s="324" t="str">
        <f t="shared" si="0"/>
        <v/>
      </c>
      <c r="N13" s="324" t="str">
        <f t="shared" si="0"/>
        <v/>
      </c>
      <c r="O13" s="324" t="str">
        <f t="shared" si="0"/>
        <v/>
      </c>
      <c r="P13" s="324" t="str">
        <f t="shared" si="0"/>
        <v/>
      </c>
      <c r="Q13" s="324" t="str">
        <f t="shared" si="0"/>
        <v/>
      </c>
      <c r="R13" s="324" t="str">
        <f t="shared" si="1"/>
        <v/>
      </c>
      <c r="S13" s="324" t="str">
        <f t="shared" si="1"/>
        <v/>
      </c>
      <c r="T13" s="324" t="str">
        <f t="shared" si="1"/>
        <v/>
      </c>
      <c r="U13" s="324" t="str">
        <f t="shared" si="1"/>
        <v/>
      </c>
      <c r="V13" s="324" t="str">
        <f t="shared" si="1"/>
        <v/>
      </c>
      <c r="W13" s="324" t="str">
        <f t="shared" si="1"/>
        <v/>
      </c>
      <c r="X13" s="324" t="str">
        <f t="shared" si="1"/>
        <v/>
      </c>
      <c r="Y13" s="324" t="str">
        <f t="shared" si="1"/>
        <v/>
      </c>
      <c r="Z13" s="324" t="str">
        <f t="shared" si="1"/>
        <v/>
      </c>
      <c r="AA13" s="324" t="str">
        <f t="shared" si="1"/>
        <v/>
      </c>
      <c r="AB13" s="324" t="str">
        <f t="shared" si="2"/>
        <v/>
      </c>
      <c r="AC13" s="324" t="str">
        <f t="shared" si="2"/>
        <v/>
      </c>
      <c r="AD13" s="324" t="str">
        <f t="shared" si="2"/>
        <v/>
      </c>
      <c r="AE13" s="324" t="str">
        <f t="shared" si="2"/>
        <v/>
      </c>
      <c r="AF13" s="324" t="str">
        <f t="shared" si="2"/>
        <v/>
      </c>
      <c r="AG13" s="324" t="str">
        <f t="shared" si="2"/>
        <v/>
      </c>
      <c r="AH13" s="324" t="str">
        <f t="shared" si="2"/>
        <v/>
      </c>
      <c r="AI13" s="324" t="str">
        <f t="shared" si="2"/>
        <v/>
      </c>
      <c r="AJ13" s="324" t="str">
        <f t="shared" si="2"/>
        <v/>
      </c>
      <c r="AK13" s="324" t="str">
        <f t="shared" si="2"/>
        <v/>
      </c>
      <c r="AL13" s="324" t="str">
        <f t="shared" si="2"/>
        <v/>
      </c>
      <c r="AM13" s="325" t="str">
        <f t="shared" si="2"/>
        <v/>
      </c>
    </row>
    <row r="14" spans="1:39" s="326" customFormat="1" ht="11.25" customHeight="1">
      <c r="A14" s="320">
        <v>11</v>
      </c>
      <c r="B14" s="321" t="s">
        <v>322</v>
      </c>
      <c r="C14" s="322">
        <v>6</v>
      </c>
      <c r="D14" s="322">
        <v>1</v>
      </c>
      <c r="E14" s="322">
        <v>7</v>
      </c>
      <c r="F14" s="322">
        <v>8</v>
      </c>
      <c r="G14" s="323">
        <v>0</v>
      </c>
      <c r="H14" s="324" t="str">
        <f t="shared" ref="H14:Q23" si="3">IF($N$1=INDEX(ganttTypes,1),IF(AND(H$3&gt;=$C14,H$3&lt;=$C14+$D14),IF($C14+$D14*$G14&gt;H$3,$Y$1,""),""),IF(AND(H$3&gt;=$E14,H$3&lt;=$E14+$F14),IF($E14+$F14*$G14&gt;H$3,$Y$1,""),""))</f>
        <v/>
      </c>
      <c r="I14" s="324" t="str">
        <f t="shared" si="3"/>
        <v/>
      </c>
      <c r="J14" s="324" t="str">
        <f t="shared" si="3"/>
        <v/>
      </c>
      <c r="K14" s="324" t="str">
        <f t="shared" si="3"/>
        <v/>
      </c>
      <c r="L14" s="324" t="str">
        <f t="shared" si="3"/>
        <v/>
      </c>
      <c r="M14" s="324" t="str">
        <f t="shared" si="3"/>
        <v/>
      </c>
      <c r="N14" s="324" t="str">
        <f t="shared" si="3"/>
        <v/>
      </c>
      <c r="O14" s="324" t="str">
        <f t="shared" si="3"/>
        <v/>
      </c>
      <c r="P14" s="324" t="str">
        <f t="shared" si="3"/>
        <v/>
      </c>
      <c r="Q14" s="324" t="str">
        <f t="shared" si="3"/>
        <v/>
      </c>
      <c r="R14" s="324" t="str">
        <f t="shared" ref="R14:AA23" si="4">IF($N$1=INDEX(ganttTypes,1),IF(AND(R$3&gt;=$C14,R$3&lt;=$C14+$D14),IF($C14+$D14*$G14&gt;R$3,$Y$1,""),""),IF(AND(R$3&gt;=$E14,R$3&lt;=$E14+$F14),IF($E14+$F14*$G14&gt;R$3,$Y$1,""),""))</f>
        <v/>
      </c>
      <c r="S14" s="324" t="str">
        <f t="shared" si="4"/>
        <v/>
      </c>
      <c r="T14" s="324" t="str">
        <f t="shared" si="4"/>
        <v/>
      </c>
      <c r="U14" s="324" t="str">
        <f t="shared" si="4"/>
        <v/>
      </c>
      <c r="V14" s="324" t="str">
        <f t="shared" si="4"/>
        <v/>
      </c>
      <c r="W14" s="324" t="str">
        <f t="shared" si="4"/>
        <v/>
      </c>
      <c r="X14" s="324" t="str">
        <f t="shared" si="4"/>
        <v/>
      </c>
      <c r="Y14" s="324" t="str">
        <f t="shared" si="4"/>
        <v/>
      </c>
      <c r="Z14" s="324" t="str">
        <f t="shared" si="4"/>
        <v/>
      </c>
      <c r="AA14" s="324" t="str">
        <f t="shared" si="4"/>
        <v/>
      </c>
      <c r="AB14" s="324" t="str">
        <f t="shared" ref="AB14:AM23" si="5">IF($N$1=INDEX(ganttTypes,1),IF(AND(AB$3&gt;=$C14,AB$3&lt;=$C14+$D14),IF($C14+$D14*$G14&gt;AB$3,$Y$1,""),""),IF(AND(AB$3&gt;=$E14,AB$3&lt;=$E14+$F14),IF($E14+$F14*$G14&gt;AB$3,$Y$1,""),""))</f>
        <v/>
      </c>
      <c r="AC14" s="324" t="str">
        <f t="shared" si="5"/>
        <v/>
      </c>
      <c r="AD14" s="324" t="str">
        <f t="shared" si="5"/>
        <v/>
      </c>
      <c r="AE14" s="324" t="str">
        <f t="shared" si="5"/>
        <v/>
      </c>
      <c r="AF14" s="324" t="str">
        <f t="shared" si="5"/>
        <v/>
      </c>
      <c r="AG14" s="324" t="str">
        <f t="shared" si="5"/>
        <v/>
      </c>
      <c r="AH14" s="324" t="str">
        <f t="shared" si="5"/>
        <v/>
      </c>
      <c r="AI14" s="324" t="str">
        <f t="shared" si="5"/>
        <v/>
      </c>
      <c r="AJ14" s="324" t="str">
        <f t="shared" si="5"/>
        <v/>
      </c>
      <c r="AK14" s="324" t="str">
        <f t="shared" si="5"/>
        <v/>
      </c>
      <c r="AL14" s="324" t="str">
        <f t="shared" si="5"/>
        <v/>
      </c>
      <c r="AM14" s="325" t="str">
        <f t="shared" si="5"/>
        <v/>
      </c>
    </row>
    <row r="15" spans="1:39" s="326" customFormat="1" ht="11.25" customHeight="1">
      <c r="A15" s="320">
        <v>12</v>
      </c>
      <c r="B15" s="321" t="s">
        <v>323</v>
      </c>
      <c r="C15" s="322">
        <v>9</v>
      </c>
      <c r="D15" s="322">
        <v>3</v>
      </c>
      <c r="E15" s="322">
        <v>8</v>
      </c>
      <c r="F15" s="322">
        <v>3</v>
      </c>
      <c r="G15" s="323">
        <v>0</v>
      </c>
      <c r="H15" s="324" t="str">
        <f t="shared" si="3"/>
        <v/>
      </c>
      <c r="I15" s="324" t="str">
        <f t="shared" si="3"/>
        <v/>
      </c>
      <c r="J15" s="324" t="str">
        <f t="shared" si="3"/>
        <v/>
      </c>
      <c r="K15" s="324" t="str">
        <f t="shared" si="3"/>
        <v/>
      </c>
      <c r="L15" s="324" t="str">
        <f t="shared" si="3"/>
        <v/>
      </c>
      <c r="M15" s="324" t="str">
        <f t="shared" si="3"/>
        <v/>
      </c>
      <c r="N15" s="324" t="str">
        <f t="shared" si="3"/>
        <v/>
      </c>
      <c r="O15" s="324" t="str">
        <f t="shared" si="3"/>
        <v/>
      </c>
      <c r="P15" s="324" t="str">
        <f t="shared" si="3"/>
        <v/>
      </c>
      <c r="Q15" s="324" t="str">
        <f t="shared" si="3"/>
        <v/>
      </c>
      <c r="R15" s="324" t="str">
        <f t="shared" si="4"/>
        <v/>
      </c>
      <c r="S15" s="324" t="str">
        <f t="shared" si="4"/>
        <v/>
      </c>
      <c r="T15" s="324" t="str">
        <f t="shared" si="4"/>
        <v/>
      </c>
      <c r="U15" s="324" t="str">
        <f t="shared" si="4"/>
        <v/>
      </c>
      <c r="V15" s="324" t="str">
        <f t="shared" si="4"/>
        <v/>
      </c>
      <c r="W15" s="324" t="str">
        <f t="shared" si="4"/>
        <v/>
      </c>
      <c r="X15" s="324" t="str">
        <f t="shared" si="4"/>
        <v/>
      </c>
      <c r="Y15" s="324" t="str">
        <f t="shared" si="4"/>
        <v/>
      </c>
      <c r="Z15" s="324" t="str">
        <f t="shared" si="4"/>
        <v/>
      </c>
      <c r="AA15" s="324" t="str">
        <f t="shared" si="4"/>
        <v/>
      </c>
      <c r="AB15" s="324" t="str">
        <f t="shared" si="5"/>
        <v/>
      </c>
      <c r="AC15" s="324" t="str">
        <f t="shared" si="5"/>
        <v/>
      </c>
      <c r="AD15" s="324" t="str">
        <f t="shared" si="5"/>
        <v/>
      </c>
      <c r="AE15" s="324" t="str">
        <f t="shared" si="5"/>
        <v/>
      </c>
      <c r="AF15" s="324" t="str">
        <f t="shared" si="5"/>
        <v/>
      </c>
      <c r="AG15" s="324" t="str">
        <f t="shared" si="5"/>
        <v/>
      </c>
      <c r="AH15" s="324" t="str">
        <f t="shared" si="5"/>
        <v/>
      </c>
      <c r="AI15" s="324" t="str">
        <f t="shared" si="5"/>
        <v/>
      </c>
      <c r="AJ15" s="324" t="str">
        <f t="shared" si="5"/>
        <v/>
      </c>
      <c r="AK15" s="324" t="str">
        <f t="shared" si="5"/>
        <v/>
      </c>
      <c r="AL15" s="324" t="str">
        <f t="shared" si="5"/>
        <v/>
      </c>
      <c r="AM15" s="325" t="str">
        <f t="shared" si="5"/>
        <v/>
      </c>
    </row>
    <row r="16" spans="1:39" s="326" customFormat="1" ht="11.25" customHeight="1">
      <c r="A16" s="320">
        <v>13</v>
      </c>
      <c r="B16" s="321" t="s">
        <v>324</v>
      </c>
      <c r="C16" s="322">
        <v>9</v>
      </c>
      <c r="D16" s="322">
        <v>6</v>
      </c>
      <c r="E16" s="322">
        <v>8</v>
      </c>
      <c r="F16" s="322">
        <v>6</v>
      </c>
      <c r="G16" s="323">
        <v>0</v>
      </c>
      <c r="H16" s="324" t="str">
        <f t="shared" si="3"/>
        <v/>
      </c>
      <c r="I16" s="324" t="str">
        <f t="shared" si="3"/>
        <v/>
      </c>
      <c r="J16" s="324" t="str">
        <f t="shared" si="3"/>
        <v/>
      </c>
      <c r="K16" s="324" t="str">
        <f t="shared" si="3"/>
        <v/>
      </c>
      <c r="L16" s="324" t="str">
        <f t="shared" si="3"/>
        <v/>
      </c>
      <c r="M16" s="324" t="str">
        <f t="shared" si="3"/>
        <v/>
      </c>
      <c r="N16" s="324" t="str">
        <f t="shared" si="3"/>
        <v/>
      </c>
      <c r="O16" s="324" t="str">
        <f t="shared" si="3"/>
        <v/>
      </c>
      <c r="P16" s="324" t="str">
        <f t="shared" si="3"/>
        <v/>
      </c>
      <c r="Q16" s="324" t="str">
        <f t="shared" si="3"/>
        <v/>
      </c>
      <c r="R16" s="324" t="str">
        <f t="shared" si="4"/>
        <v/>
      </c>
      <c r="S16" s="324" t="str">
        <f t="shared" si="4"/>
        <v/>
      </c>
      <c r="T16" s="324" t="str">
        <f t="shared" si="4"/>
        <v/>
      </c>
      <c r="U16" s="324" t="str">
        <f t="shared" si="4"/>
        <v/>
      </c>
      <c r="V16" s="324" t="str">
        <f t="shared" si="4"/>
        <v/>
      </c>
      <c r="W16" s="324" t="str">
        <f t="shared" si="4"/>
        <v/>
      </c>
      <c r="X16" s="324" t="str">
        <f t="shared" si="4"/>
        <v/>
      </c>
      <c r="Y16" s="324" t="str">
        <f t="shared" si="4"/>
        <v/>
      </c>
      <c r="Z16" s="324" t="str">
        <f t="shared" si="4"/>
        <v/>
      </c>
      <c r="AA16" s="324" t="str">
        <f t="shared" si="4"/>
        <v/>
      </c>
      <c r="AB16" s="324" t="str">
        <f t="shared" si="5"/>
        <v/>
      </c>
      <c r="AC16" s="324" t="str">
        <f t="shared" si="5"/>
        <v/>
      </c>
      <c r="AD16" s="324" t="str">
        <f t="shared" si="5"/>
        <v/>
      </c>
      <c r="AE16" s="324" t="str">
        <f t="shared" si="5"/>
        <v/>
      </c>
      <c r="AF16" s="324" t="str">
        <f t="shared" si="5"/>
        <v/>
      </c>
      <c r="AG16" s="324" t="str">
        <f t="shared" si="5"/>
        <v/>
      </c>
      <c r="AH16" s="324" t="str">
        <f t="shared" si="5"/>
        <v/>
      </c>
      <c r="AI16" s="324" t="str">
        <f t="shared" si="5"/>
        <v/>
      </c>
      <c r="AJ16" s="324" t="str">
        <f t="shared" si="5"/>
        <v/>
      </c>
      <c r="AK16" s="324" t="str">
        <f t="shared" si="5"/>
        <v/>
      </c>
      <c r="AL16" s="324" t="str">
        <f t="shared" si="5"/>
        <v/>
      </c>
      <c r="AM16" s="325" t="str">
        <f t="shared" si="5"/>
        <v/>
      </c>
    </row>
    <row r="17" spans="1:39" s="326" customFormat="1" ht="11.25" customHeight="1">
      <c r="A17" s="320">
        <v>14</v>
      </c>
      <c r="B17" s="321" t="s">
        <v>325</v>
      </c>
      <c r="C17" s="322">
        <v>9</v>
      </c>
      <c r="D17" s="322">
        <v>3</v>
      </c>
      <c r="E17" s="322">
        <v>9</v>
      </c>
      <c r="F17" s="322">
        <v>1</v>
      </c>
      <c r="G17" s="323">
        <v>0</v>
      </c>
      <c r="H17" s="324" t="str">
        <f t="shared" si="3"/>
        <v/>
      </c>
      <c r="I17" s="324" t="str">
        <f t="shared" si="3"/>
        <v/>
      </c>
      <c r="J17" s="324" t="str">
        <f t="shared" si="3"/>
        <v/>
      </c>
      <c r="K17" s="324" t="str">
        <f t="shared" si="3"/>
        <v/>
      </c>
      <c r="L17" s="324" t="str">
        <f t="shared" si="3"/>
        <v/>
      </c>
      <c r="M17" s="324" t="str">
        <f t="shared" si="3"/>
        <v/>
      </c>
      <c r="N17" s="324" t="str">
        <f t="shared" si="3"/>
        <v/>
      </c>
      <c r="O17" s="324" t="str">
        <f t="shared" si="3"/>
        <v/>
      </c>
      <c r="P17" s="324" t="str">
        <f t="shared" si="3"/>
        <v/>
      </c>
      <c r="Q17" s="324" t="str">
        <f t="shared" si="3"/>
        <v/>
      </c>
      <c r="R17" s="324" t="str">
        <f t="shared" si="4"/>
        <v/>
      </c>
      <c r="S17" s="324" t="str">
        <f t="shared" si="4"/>
        <v/>
      </c>
      <c r="T17" s="324" t="str">
        <f t="shared" si="4"/>
        <v/>
      </c>
      <c r="U17" s="324" t="str">
        <f t="shared" si="4"/>
        <v/>
      </c>
      <c r="V17" s="324" t="str">
        <f t="shared" si="4"/>
        <v/>
      </c>
      <c r="W17" s="324" t="str">
        <f t="shared" si="4"/>
        <v/>
      </c>
      <c r="X17" s="324" t="str">
        <f t="shared" si="4"/>
        <v/>
      </c>
      <c r="Y17" s="324" t="str">
        <f t="shared" si="4"/>
        <v/>
      </c>
      <c r="Z17" s="324" t="str">
        <f t="shared" si="4"/>
        <v/>
      </c>
      <c r="AA17" s="324" t="str">
        <f t="shared" si="4"/>
        <v/>
      </c>
      <c r="AB17" s="324" t="str">
        <f t="shared" si="5"/>
        <v/>
      </c>
      <c r="AC17" s="324" t="str">
        <f t="shared" si="5"/>
        <v/>
      </c>
      <c r="AD17" s="324" t="str">
        <f t="shared" si="5"/>
        <v/>
      </c>
      <c r="AE17" s="324" t="str">
        <f t="shared" si="5"/>
        <v/>
      </c>
      <c r="AF17" s="324" t="str">
        <f t="shared" si="5"/>
        <v/>
      </c>
      <c r="AG17" s="324" t="str">
        <f t="shared" si="5"/>
        <v/>
      </c>
      <c r="AH17" s="324" t="str">
        <f t="shared" si="5"/>
        <v/>
      </c>
      <c r="AI17" s="324" t="str">
        <f t="shared" si="5"/>
        <v/>
      </c>
      <c r="AJ17" s="324" t="str">
        <f t="shared" si="5"/>
        <v/>
      </c>
      <c r="AK17" s="324" t="str">
        <f t="shared" si="5"/>
        <v/>
      </c>
      <c r="AL17" s="324" t="str">
        <f t="shared" si="5"/>
        <v/>
      </c>
      <c r="AM17" s="325" t="str">
        <f t="shared" si="5"/>
        <v/>
      </c>
    </row>
    <row r="18" spans="1:39" s="326" customFormat="1" ht="11.25" customHeight="1">
      <c r="A18" s="320">
        <v>15</v>
      </c>
      <c r="B18" s="321" t="s">
        <v>326</v>
      </c>
      <c r="C18" s="322">
        <v>9</v>
      </c>
      <c r="D18" s="322">
        <v>4</v>
      </c>
      <c r="E18" s="322">
        <v>9</v>
      </c>
      <c r="F18" s="322">
        <v>4</v>
      </c>
      <c r="G18" s="323">
        <v>0</v>
      </c>
      <c r="H18" s="324" t="str">
        <f t="shared" si="3"/>
        <v/>
      </c>
      <c r="I18" s="324" t="str">
        <f t="shared" si="3"/>
        <v/>
      </c>
      <c r="J18" s="324" t="str">
        <f t="shared" si="3"/>
        <v/>
      </c>
      <c r="K18" s="324" t="str">
        <f t="shared" si="3"/>
        <v/>
      </c>
      <c r="L18" s="324" t="str">
        <f t="shared" si="3"/>
        <v/>
      </c>
      <c r="M18" s="324" t="str">
        <f t="shared" si="3"/>
        <v/>
      </c>
      <c r="N18" s="324" t="str">
        <f t="shared" si="3"/>
        <v/>
      </c>
      <c r="O18" s="324" t="str">
        <f t="shared" si="3"/>
        <v/>
      </c>
      <c r="P18" s="324" t="str">
        <f t="shared" si="3"/>
        <v/>
      </c>
      <c r="Q18" s="324" t="str">
        <f t="shared" si="3"/>
        <v/>
      </c>
      <c r="R18" s="324" t="str">
        <f t="shared" si="4"/>
        <v/>
      </c>
      <c r="S18" s="324" t="str">
        <f t="shared" si="4"/>
        <v/>
      </c>
      <c r="T18" s="324" t="str">
        <f t="shared" si="4"/>
        <v/>
      </c>
      <c r="U18" s="324" t="str">
        <f t="shared" si="4"/>
        <v/>
      </c>
      <c r="V18" s="324" t="str">
        <f t="shared" si="4"/>
        <v/>
      </c>
      <c r="W18" s="324" t="str">
        <f t="shared" si="4"/>
        <v/>
      </c>
      <c r="X18" s="324" t="str">
        <f t="shared" si="4"/>
        <v/>
      </c>
      <c r="Y18" s="324" t="str">
        <f t="shared" si="4"/>
        <v/>
      </c>
      <c r="Z18" s="324" t="str">
        <f t="shared" si="4"/>
        <v/>
      </c>
      <c r="AA18" s="324" t="str">
        <f t="shared" si="4"/>
        <v/>
      </c>
      <c r="AB18" s="324" t="str">
        <f t="shared" si="5"/>
        <v/>
      </c>
      <c r="AC18" s="324" t="str">
        <f t="shared" si="5"/>
        <v/>
      </c>
      <c r="AD18" s="324" t="str">
        <f t="shared" si="5"/>
        <v/>
      </c>
      <c r="AE18" s="324" t="str">
        <f t="shared" si="5"/>
        <v/>
      </c>
      <c r="AF18" s="324" t="str">
        <f t="shared" si="5"/>
        <v/>
      </c>
      <c r="AG18" s="324" t="str">
        <f t="shared" si="5"/>
        <v/>
      </c>
      <c r="AH18" s="324" t="str">
        <f t="shared" si="5"/>
        <v/>
      </c>
      <c r="AI18" s="324" t="str">
        <f t="shared" si="5"/>
        <v/>
      </c>
      <c r="AJ18" s="324" t="str">
        <f t="shared" si="5"/>
        <v/>
      </c>
      <c r="AK18" s="324" t="str">
        <f t="shared" si="5"/>
        <v/>
      </c>
      <c r="AL18" s="324" t="str">
        <f t="shared" si="5"/>
        <v/>
      </c>
      <c r="AM18" s="325" t="str">
        <f t="shared" si="5"/>
        <v/>
      </c>
    </row>
    <row r="19" spans="1:39" s="326" customFormat="1" ht="11.25" customHeight="1">
      <c r="A19" s="320">
        <v>16</v>
      </c>
      <c r="B19" s="321" t="s">
        <v>327</v>
      </c>
      <c r="C19" s="322">
        <v>10</v>
      </c>
      <c r="D19" s="322">
        <v>5</v>
      </c>
      <c r="E19" s="322">
        <v>10</v>
      </c>
      <c r="F19" s="322">
        <v>2</v>
      </c>
      <c r="G19" s="323">
        <v>0</v>
      </c>
      <c r="H19" s="324" t="str">
        <f t="shared" si="3"/>
        <v/>
      </c>
      <c r="I19" s="324" t="str">
        <f t="shared" si="3"/>
        <v/>
      </c>
      <c r="J19" s="324" t="str">
        <f t="shared" si="3"/>
        <v/>
      </c>
      <c r="K19" s="324" t="str">
        <f t="shared" si="3"/>
        <v/>
      </c>
      <c r="L19" s="324" t="str">
        <f t="shared" si="3"/>
        <v/>
      </c>
      <c r="M19" s="324" t="str">
        <f t="shared" si="3"/>
        <v/>
      </c>
      <c r="N19" s="324" t="str">
        <f t="shared" si="3"/>
        <v/>
      </c>
      <c r="O19" s="324" t="str">
        <f t="shared" si="3"/>
        <v/>
      </c>
      <c r="P19" s="324" t="str">
        <f t="shared" si="3"/>
        <v/>
      </c>
      <c r="Q19" s="324" t="str">
        <f t="shared" si="3"/>
        <v/>
      </c>
      <c r="R19" s="324" t="str">
        <f t="shared" si="4"/>
        <v/>
      </c>
      <c r="S19" s="324" t="str">
        <f t="shared" si="4"/>
        <v/>
      </c>
      <c r="T19" s="324" t="str">
        <f t="shared" si="4"/>
        <v/>
      </c>
      <c r="U19" s="324" t="str">
        <f t="shared" si="4"/>
        <v/>
      </c>
      <c r="V19" s="324" t="str">
        <f t="shared" si="4"/>
        <v/>
      </c>
      <c r="W19" s="324" t="str">
        <f t="shared" si="4"/>
        <v/>
      </c>
      <c r="X19" s="324" t="str">
        <f t="shared" si="4"/>
        <v/>
      </c>
      <c r="Y19" s="324" t="str">
        <f t="shared" si="4"/>
        <v/>
      </c>
      <c r="Z19" s="324" t="str">
        <f t="shared" si="4"/>
        <v/>
      </c>
      <c r="AA19" s="324" t="str">
        <f t="shared" si="4"/>
        <v/>
      </c>
      <c r="AB19" s="324" t="str">
        <f t="shared" si="5"/>
        <v/>
      </c>
      <c r="AC19" s="324" t="str">
        <f t="shared" si="5"/>
        <v/>
      </c>
      <c r="AD19" s="324" t="str">
        <f t="shared" si="5"/>
        <v/>
      </c>
      <c r="AE19" s="324" t="str">
        <f t="shared" si="5"/>
        <v/>
      </c>
      <c r="AF19" s="324" t="str">
        <f t="shared" si="5"/>
        <v/>
      </c>
      <c r="AG19" s="324" t="str">
        <f t="shared" si="5"/>
        <v/>
      </c>
      <c r="AH19" s="324" t="str">
        <f t="shared" si="5"/>
        <v/>
      </c>
      <c r="AI19" s="324" t="str">
        <f t="shared" si="5"/>
        <v/>
      </c>
      <c r="AJ19" s="324" t="str">
        <f t="shared" si="5"/>
        <v/>
      </c>
      <c r="AK19" s="324" t="str">
        <f t="shared" si="5"/>
        <v/>
      </c>
      <c r="AL19" s="324" t="str">
        <f t="shared" si="5"/>
        <v/>
      </c>
      <c r="AM19" s="325" t="str">
        <f t="shared" si="5"/>
        <v/>
      </c>
    </row>
    <row r="20" spans="1:39" s="326" customFormat="1" ht="11.25" customHeight="1">
      <c r="A20" s="320">
        <v>17</v>
      </c>
      <c r="B20" s="321" t="s">
        <v>328</v>
      </c>
      <c r="C20" s="322">
        <v>11</v>
      </c>
      <c r="D20" s="322">
        <v>2</v>
      </c>
      <c r="E20" s="322">
        <v>10</v>
      </c>
      <c r="F20" s="322">
        <v>5</v>
      </c>
      <c r="G20" s="323">
        <v>0</v>
      </c>
      <c r="H20" s="324" t="str">
        <f t="shared" si="3"/>
        <v/>
      </c>
      <c r="I20" s="324" t="str">
        <f t="shared" si="3"/>
        <v/>
      </c>
      <c r="J20" s="324" t="str">
        <f t="shared" si="3"/>
        <v/>
      </c>
      <c r="K20" s="324" t="str">
        <f t="shared" si="3"/>
        <v/>
      </c>
      <c r="L20" s="324" t="str">
        <f t="shared" si="3"/>
        <v/>
      </c>
      <c r="M20" s="324" t="str">
        <f t="shared" si="3"/>
        <v/>
      </c>
      <c r="N20" s="324" t="str">
        <f t="shared" si="3"/>
        <v/>
      </c>
      <c r="O20" s="324" t="str">
        <f t="shared" si="3"/>
        <v/>
      </c>
      <c r="P20" s="324" t="str">
        <f t="shared" si="3"/>
        <v/>
      </c>
      <c r="Q20" s="324" t="str">
        <f t="shared" si="3"/>
        <v/>
      </c>
      <c r="R20" s="324" t="str">
        <f t="shared" si="4"/>
        <v/>
      </c>
      <c r="S20" s="324" t="str">
        <f t="shared" si="4"/>
        <v/>
      </c>
      <c r="T20" s="324" t="str">
        <f t="shared" si="4"/>
        <v/>
      </c>
      <c r="U20" s="324" t="str">
        <f t="shared" si="4"/>
        <v/>
      </c>
      <c r="V20" s="324" t="str">
        <f t="shared" si="4"/>
        <v/>
      </c>
      <c r="W20" s="324" t="str">
        <f t="shared" si="4"/>
        <v/>
      </c>
      <c r="X20" s="324" t="str">
        <f t="shared" si="4"/>
        <v/>
      </c>
      <c r="Y20" s="324" t="str">
        <f t="shared" si="4"/>
        <v/>
      </c>
      <c r="Z20" s="324" t="str">
        <f t="shared" si="4"/>
        <v/>
      </c>
      <c r="AA20" s="324" t="str">
        <f t="shared" si="4"/>
        <v/>
      </c>
      <c r="AB20" s="324" t="str">
        <f t="shared" si="5"/>
        <v/>
      </c>
      <c r="AC20" s="324" t="str">
        <f t="shared" si="5"/>
        <v/>
      </c>
      <c r="AD20" s="324" t="str">
        <f t="shared" si="5"/>
        <v/>
      </c>
      <c r="AE20" s="324" t="str">
        <f t="shared" si="5"/>
        <v/>
      </c>
      <c r="AF20" s="324" t="str">
        <f t="shared" si="5"/>
        <v/>
      </c>
      <c r="AG20" s="324" t="str">
        <f t="shared" si="5"/>
        <v/>
      </c>
      <c r="AH20" s="324" t="str">
        <f t="shared" si="5"/>
        <v/>
      </c>
      <c r="AI20" s="324" t="str">
        <f t="shared" si="5"/>
        <v/>
      </c>
      <c r="AJ20" s="324" t="str">
        <f t="shared" si="5"/>
        <v/>
      </c>
      <c r="AK20" s="324" t="str">
        <f t="shared" si="5"/>
        <v/>
      </c>
      <c r="AL20" s="324" t="str">
        <f t="shared" si="5"/>
        <v/>
      </c>
      <c r="AM20" s="325" t="str">
        <f t="shared" si="5"/>
        <v/>
      </c>
    </row>
    <row r="21" spans="1:39" s="326" customFormat="1" ht="11.25" customHeight="1">
      <c r="A21" s="320">
        <v>18</v>
      </c>
      <c r="B21" s="321" t="s">
        <v>329</v>
      </c>
      <c r="C21" s="322">
        <v>12</v>
      </c>
      <c r="D21" s="322">
        <v>6</v>
      </c>
      <c r="E21" s="322">
        <v>11</v>
      </c>
      <c r="F21" s="322">
        <v>7</v>
      </c>
      <c r="G21" s="323">
        <v>0</v>
      </c>
      <c r="H21" s="324" t="str">
        <f t="shared" si="3"/>
        <v/>
      </c>
      <c r="I21" s="324" t="str">
        <f t="shared" si="3"/>
        <v/>
      </c>
      <c r="J21" s="324" t="str">
        <f t="shared" si="3"/>
        <v/>
      </c>
      <c r="K21" s="324" t="str">
        <f t="shared" si="3"/>
        <v/>
      </c>
      <c r="L21" s="324" t="str">
        <f t="shared" si="3"/>
        <v/>
      </c>
      <c r="M21" s="324" t="str">
        <f t="shared" si="3"/>
        <v/>
      </c>
      <c r="N21" s="324" t="str">
        <f t="shared" si="3"/>
        <v/>
      </c>
      <c r="O21" s="324" t="str">
        <f t="shared" si="3"/>
        <v/>
      </c>
      <c r="P21" s="324" t="str">
        <f t="shared" si="3"/>
        <v/>
      </c>
      <c r="Q21" s="324" t="str">
        <f t="shared" si="3"/>
        <v/>
      </c>
      <c r="R21" s="324" t="str">
        <f t="shared" si="4"/>
        <v/>
      </c>
      <c r="S21" s="324" t="str">
        <f t="shared" si="4"/>
        <v/>
      </c>
      <c r="T21" s="324" t="str">
        <f t="shared" si="4"/>
        <v/>
      </c>
      <c r="U21" s="324" t="str">
        <f t="shared" si="4"/>
        <v/>
      </c>
      <c r="V21" s="324" t="str">
        <f t="shared" si="4"/>
        <v/>
      </c>
      <c r="W21" s="324" t="str">
        <f t="shared" si="4"/>
        <v/>
      </c>
      <c r="X21" s="324" t="str">
        <f t="shared" si="4"/>
        <v/>
      </c>
      <c r="Y21" s="324" t="str">
        <f t="shared" si="4"/>
        <v/>
      </c>
      <c r="Z21" s="324" t="str">
        <f t="shared" si="4"/>
        <v/>
      </c>
      <c r="AA21" s="324" t="str">
        <f t="shared" si="4"/>
        <v/>
      </c>
      <c r="AB21" s="324" t="str">
        <f t="shared" si="5"/>
        <v/>
      </c>
      <c r="AC21" s="324" t="str">
        <f t="shared" si="5"/>
        <v/>
      </c>
      <c r="AD21" s="324" t="str">
        <f t="shared" si="5"/>
        <v/>
      </c>
      <c r="AE21" s="324" t="str">
        <f t="shared" si="5"/>
        <v/>
      </c>
      <c r="AF21" s="324" t="str">
        <f t="shared" si="5"/>
        <v/>
      </c>
      <c r="AG21" s="324" t="str">
        <f t="shared" si="5"/>
        <v/>
      </c>
      <c r="AH21" s="324" t="str">
        <f t="shared" si="5"/>
        <v/>
      </c>
      <c r="AI21" s="324" t="str">
        <f t="shared" si="5"/>
        <v/>
      </c>
      <c r="AJ21" s="324" t="str">
        <f t="shared" si="5"/>
        <v/>
      </c>
      <c r="AK21" s="324" t="str">
        <f t="shared" si="5"/>
        <v/>
      </c>
      <c r="AL21" s="324" t="str">
        <f t="shared" si="5"/>
        <v/>
      </c>
      <c r="AM21" s="325" t="str">
        <f t="shared" si="5"/>
        <v/>
      </c>
    </row>
    <row r="22" spans="1:39" s="326" customFormat="1" ht="11.25" customHeight="1">
      <c r="A22" s="320">
        <v>19</v>
      </c>
      <c r="B22" s="321" t="s">
        <v>330</v>
      </c>
      <c r="C22" s="322">
        <v>12</v>
      </c>
      <c r="D22" s="322">
        <v>1</v>
      </c>
      <c r="E22" s="322">
        <v>11</v>
      </c>
      <c r="F22" s="322">
        <v>5</v>
      </c>
      <c r="G22" s="323">
        <v>0</v>
      </c>
      <c r="H22" s="324" t="str">
        <f t="shared" si="3"/>
        <v/>
      </c>
      <c r="I22" s="324" t="str">
        <f t="shared" si="3"/>
        <v/>
      </c>
      <c r="J22" s="324" t="str">
        <f t="shared" si="3"/>
        <v/>
      </c>
      <c r="K22" s="324" t="str">
        <f t="shared" si="3"/>
        <v/>
      </c>
      <c r="L22" s="324" t="str">
        <f t="shared" si="3"/>
        <v/>
      </c>
      <c r="M22" s="324" t="str">
        <f t="shared" si="3"/>
        <v/>
      </c>
      <c r="N22" s="324" t="str">
        <f t="shared" si="3"/>
        <v/>
      </c>
      <c r="O22" s="324" t="str">
        <f t="shared" si="3"/>
        <v/>
      </c>
      <c r="P22" s="324" t="str">
        <f t="shared" si="3"/>
        <v/>
      </c>
      <c r="Q22" s="324" t="str">
        <f t="shared" si="3"/>
        <v/>
      </c>
      <c r="R22" s="324" t="str">
        <f t="shared" si="4"/>
        <v/>
      </c>
      <c r="S22" s="324" t="str">
        <f t="shared" si="4"/>
        <v/>
      </c>
      <c r="T22" s="324" t="str">
        <f t="shared" si="4"/>
        <v/>
      </c>
      <c r="U22" s="324" t="str">
        <f t="shared" si="4"/>
        <v/>
      </c>
      <c r="V22" s="324" t="str">
        <f t="shared" si="4"/>
        <v/>
      </c>
      <c r="W22" s="324" t="str">
        <f t="shared" si="4"/>
        <v/>
      </c>
      <c r="X22" s="324" t="str">
        <f t="shared" si="4"/>
        <v/>
      </c>
      <c r="Y22" s="324" t="str">
        <f t="shared" si="4"/>
        <v/>
      </c>
      <c r="Z22" s="324" t="str">
        <f t="shared" si="4"/>
        <v/>
      </c>
      <c r="AA22" s="324" t="str">
        <f t="shared" si="4"/>
        <v/>
      </c>
      <c r="AB22" s="324" t="str">
        <f t="shared" si="5"/>
        <v/>
      </c>
      <c r="AC22" s="324" t="str">
        <f t="shared" si="5"/>
        <v/>
      </c>
      <c r="AD22" s="324" t="str">
        <f t="shared" si="5"/>
        <v/>
      </c>
      <c r="AE22" s="324" t="str">
        <f t="shared" si="5"/>
        <v/>
      </c>
      <c r="AF22" s="324" t="str">
        <f t="shared" si="5"/>
        <v/>
      </c>
      <c r="AG22" s="324" t="str">
        <f t="shared" si="5"/>
        <v/>
      </c>
      <c r="AH22" s="324" t="str">
        <f t="shared" si="5"/>
        <v/>
      </c>
      <c r="AI22" s="324" t="str">
        <f t="shared" si="5"/>
        <v/>
      </c>
      <c r="AJ22" s="324" t="str">
        <f t="shared" si="5"/>
        <v/>
      </c>
      <c r="AK22" s="324" t="str">
        <f t="shared" si="5"/>
        <v/>
      </c>
      <c r="AL22" s="324" t="str">
        <f t="shared" si="5"/>
        <v/>
      </c>
      <c r="AM22" s="325" t="str">
        <f t="shared" si="5"/>
        <v/>
      </c>
    </row>
    <row r="23" spans="1:39" s="326" customFormat="1" ht="11.25" customHeight="1">
      <c r="A23" s="320">
        <v>20</v>
      </c>
      <c r="B23" s="321" t="s">
        <v>331</v>
      </c>
      <c r="C23" s="322">
        <v>14</v>
      </c>
      <c r="D23" s="322">
        <v>5</v>
      </c>
      <c r="E23" s="322">
        <v>11</v>
      </c>
      <c r="F23" s="322">
        <v>6</v>
      </c>
      <c r="G23" s="323">
        <v>0</v>
      </c>
      <c r="H23" s="324" t="str">
        <f t="shared" si="3"/>
        <v/>
      </c>
      <c r="I23" s="324" t="str">
        <f t="shared" si="3"/>
        <v/>
      </c>
      <c r="J23" s="324" t="str">
        <f t="shared" si="3"/>
        <v/>
      </c>
      <c r="K23" s="324" t="str">
        <f t="shared" si="3"/>
        <v/>
      </c>
      <c r="L23" s="324" t="str">
        <f t="shared" si="3"/>
        <v/>
      </c>
      <c r="M23" s="324" t="str">
        <f t="shared" si="3"/>
        <v/>
      </c>
      <c r="N23" s="324" t="str">
        <f t="shared" si="3"/>
        <v/>
      </c>
      <c r="O23" s="324" t="str">
        <f t="shared" si="3"/>
        <v/>
      </c>
      <c r="P23" s="324" t="str">
        <f t="shared" si="3"/>
        <v/>
      </c>
      <c r="Q23" s="324" t="str">
        <f t="shared" si="3"/>
        <v/>
      </c>
      <c r="R23" s="324" t="str">
        <f t="shared" si="4"/>
        <v/>
      </c>
      <c r="S23" s="324" t="str">
        <f t="shared" si="4"/>
        <v/>
      </c>
      <c r="T23" s="324" t="str">
        <f t="shared" si="4"/>
        <v/>
      </c>
      <c r="U23" s="324" t="str">
        <f t="shared" si="4"/>
        <v/>
      </c>
      <c r="V23" s="324" t="str">
        <f t="shared" si="4"/>
        <v/>
      </c>
      <c r="W23" s="324" t="str">
        <f t="shared" si="4"/>
        <v/>
      </c>
      <c r="X23" s="324" t="str">
        <f t="shared" si="4"/>
        <v/>
      </c>
      <c r="Y23" s="324" t="str">
        <f t="shared" si="4"/>
        <v/>
      </c>
      <c r="Z23" s="324" t="str">
        <f t="shared" si="4"/>
        <v/>
      </c>
      <c r="AA23" s="324" t="str">
        <f t="shared" si="4"/>
        <v/>
      </c>
      <c r="AB23" s="324" t="str">
        <f t="shared" si="5"/>
        <v/>
      </c>
      <c r="AC23" s="324" t="str">
        <f t="shared" si="5"/>
        <v/>
      </c>
      <c r="AD23" s="324" t="str">
        <f t="shared" si="5"/>
        <v/>
      </c>
      <c r="AE23" s="324" t="str">
        <f t="shared" si="5"/>
        <v/>
      </c>
      <c r="AF23" s="324" t="str">
        <f t="shared" si="5"/>
        <v/>
      </c>
      <c r="AG23" s="324" t="str">
        <f t="shared" si="5"/>
        <v/>
      </c>
      <c r="AH23" s="324" t="str">
        <f t="shared" si="5"/>
        <v/>
      </c>
      <c r="AI23" s="324" t="str">
        <f t="shared" si="5"/>
        <v/>
      </c>
      <c r="AJ23" s="324" t="str">
        <f t="shared" si="5"/>
        <v/>
      </c>
      <c r="AK23" s="324" t="str">
        <f t="shared" si="5"/>
        <v/>
      </c>
      <c r="AL23" s="324" t="str">
        <f t="shared" si="5"/>
        <v/>
      </c>
      <c r="AM23" s="325" t="str">
        <f t="shared" si="5"/>
        <v/>
      </c>
    </row>
    <row r="24" spans="1:39" s="326" customFormat="1" ht="11.25" customHeight="1">
      <c r="A24" s="320">
        <v>21</v>
      </c>
      <c r="B24" s="321" t="s">
        <v>332</v>
      </c>
      <c r="C24" s="322">
        <v>14</v>
      </c>
      <c r="D24" s="322">
        <v>8</v>
      </c>
      <c r="E24" s="322">
        <v>11</v>
      </c>
      <c r="F24" s="322">
        <v>1</v>
      </c>
      <c r="G24" s="323">
        <v>0</v>
      </c>
      <c r="H24" s="324" t="str">
        <f t="shared" ref="H24:Q33" si="6">IF($N$1=INDEX(ganttTypes,1),IF(AND(H$3&gt;=$C24,H$3&lt;=$C24+$D24),IF($C24+$D24*$G24&gt;H$3,$Y$1,""),""),IF(AND(H$3&gt;=$E24,H$3&lt;=$E24+$F24),IF($E24+$F24*$G24&gt;H$3,$Y$1,""),""))</f>
        <v/>
      </c>
      <c r="I24" s="324" t="str">
        <f t="shared" si="6"/>
        <v/>
      </c>
      <c r="J24" s="324" t="str">
        <f t="shared" si="6"/>
        <v/>
      </c>
      <c r="K24" s="324" t="str">
        <f t="shared" si="6"/>
        <v/>
      </c>
      <c r="L24" s="324" t="str">
        <f t="shared" si="6"/>
        <v/>
      </c>
      <c r="M24" s="324" t="str">
        <f t="shared" si="6"/>
        <v/>
      </c>
      <c r="N24" s="324" t="str">
        <f t="shared" si="6"/>
        <v/>
      </c>
      <c r="O24" s="324" t="str">
        <f t="shared" si="6"/>
        <v/>
      </c>
      <c r="P24" s="324" t="str">
        <f t="shared" si="6"/>
        <v/>
      </c>
      <c r="Q24" s="324" t="str">
        <f t="shared" si="6"/>
        <v/>
      </c>
      <c r="R24" s="324" t="str">
        <f t="shared" ref="R24:AA33" si="7">IF($N$1=INDEX(ganttTypes,1),IF(AND(R$3&gt;=$C24,R$3&lt;=$C24+$D24),IF($C24+$D24*$G24&gt;R$3,$Y$1,""),""),IF(AND(R$3&gt;=$E24,R$3&lt;=$E24+$F24),IF($E24+$F24*$G24&gt;R$3,$Y$1,""),""))</f>
        <v/>
      </c>
      <c r="S24" s="324" t="str">
        <f t="shared" si="7"/>
        <v/>
      </c>
      <c r="T24" s="324" t="str">
        <f t="shared" si="7"/>
        <v/>
      </c>
      <c r="U24" s="324" t="str">
        <f t="shared" si="7"/>
        <v/>
      </c>
      <c r="V24" s="324" t="str">
        <f t="shared" si="7"/>
        <v/>
      </c>
      <c r="W24" s="324" t="str">
        <f t="shared" si="7"/>
        <v/>
      </c>
      <c r="X24" s="324" t="str">
        <f t="shared" si="7"/>
        <v/>
      </c>
      <c r="Y24" s="324" t="str">
        <f t="shared" si="7"/>
        <v/>
      </c>
      <c r="Z24" s="324" t="str">
        <f t="shared" si="7"/>
        <v/>
      </c>
      <c r="AA24" s="324" t="str">
        <f t="shared" si="7"/>
        <v/>
      </c>
      <c r="AB24" s="324" t="str">
        <f t="shared" ref="AB24:AM33" si="8">IF($N$1=INDEX(ganttTypes,1),IF(AND(AB$3&gt;=$C24,AB$3&lt;=$C24+$D24),IF($C24+$D24*$G24&gt;AB$3,$Y$1,""),""),IF(AND(AB$3&gt;=$E24,AB$3&lt;=$E24+$F24),IF($E24+$F24*$G24&gt;AB$3,$Y$1,""),""))</f>
        <v/>
      </c>
      <c r="AC24" s="324" t="str">
        <f t="shared" si="8"/>
        <v/>
      </c>
      <c r="AD24" s="324" t="str">
        <f t="shared" si="8"/>
        <v/>
      </c>
      <c r="AE24" s="324" t="str">
        <f t="shared" si="8"/>
        <v/>
      </c>
      <c r="AF24" s="324" t="str">
        <f t="shared" si="8"/>
        <v/>
      </c>
      <c r="AG24" s="324" t="str">
        <f t="shared" si="8"/>
        <v/>
      </c>
      <c r="AH24" s="324" t="str">
        <f t="shared" si="8"/>
        <v/>
      </c>
      <c r="AI24" s="324" t="str">
        <f t="shared" si="8"/>
        <v/>
      </c>
      <c r="AJ24" s="324" t="str">
        <f t="shared" si="8"/>
        <v/>
      </c>
      <c r="AK24" s="324" t="str">
        <f t="shared" si="8"/>
        <v/>
      </c>
      <c r="AL24" s="324" t="str">
        <f t="shared" si="8"/>
        <v/>
      </c>
      <c r="AM24" s="325" t="str">
        <f t="shared" si="8"/>
        <v/>
      </c>
    </row>
    <row r="25" spans="1:39" s="326" customFormat="1" ht="11.25" customHeight="1">
      <c r="A25" s="320">
        <v>22</v>
      </c>
      <c r="B25" s="321" t="s">
        <v>333</v>
      </c>
      <c r="C25" s="322">
        <v>14</v>
      </c>
      <c r="D25" s="322">
        <v>7</v>
      </c>
      <c r="E25" s="322">
        <v>11</v>
      </c>
      <c r="F25" s="322">
        <v>3</v>
      </c>
      <c r="G25" s="323">
        <v>0</v>
      </c>
      <c r="H25" s="324" t="str">
        <f t="shared" si="6"/>
        <v/>
      </c>
      <c r="I25" s="324" t="str">
        <f t="shared" si="6"/>
        <v/>
      </c>
      <c r="J25" s="324" t="str">
        <f t="shared" si="6"/>
        <v/>
      </c>
      <c r="K25" s="324" t="str">
        <f t="shared" si="6"/>
        <v/>
      </c>
      <c r="L25" s="324" t="str">
        <f t="shared" si="6"/>
        <v/>
      </c>
      <c r="M25" s="324" t="str">
        <f t="shared" si="6"/>
        <v/>
      </c>
      <c r="N25" s="324" t="str">
        <f t="shared" si="6"/>
        <v/>
      </c>
      <c r="O25" s="324" t="str">
        <f t="shared" si="6"/>
        <v/>
      </c>
      <c r="P25" s="324" t="str">
        <f t="shared" si="6"/>
        <v/>
      </c>
      <c r="Q25" s="324" t="str">
        <f t="shared" si="6"/>
        <v/>
      </c>
      <c r="R25" s="324" t="str">
        <f t="shared" si="7"/>
        <v/>
      </c>
      <c r="S25" s="324" t="str">
        <f t="shared" si="7"/>
        <v/>
      </c>
      <c r="T25" s="324" t="str">
        <f t="shared" si="7"/>
        <v/>
      </c>
      <c r="U25" s="324" t="str">
        <f t="shared" si="7"/>
        <v/>
      </c>
      <c r="V25" s="324" t="str">
        <f t="shared" si="7"/>
        <v/>
      </c>
      <c r="W25" s="324" t="str">
        <f t="shared" si="7"/>
        <v/>
      </c>
      <c r="X25" s="324" t="str">
        <f t="shared" si="7"/>
        <v/>
      </c>
      <c r="Y25" s="324" t="str">
        <f t="shared" si="7"/>
        <v/>
      </c>
      <c r="Z25" s="324" t="str">
        <f t="shared" si="7"/>
        <v/>
      </c>
      <c r="AA25" s="324" t="str">
        <f t="shared" si="7"/>
        <v/>
      </c>
      <c r="AB25" s="324" t="str">
        <f t="shared" si="8"/>
        <v/>
      </c>
      <c r="AC25" s="324" t="str">
        <f t="shared" si="8"/>
        <v/>
      </c>
      <c r="AD25" s="324" t="str">
        <f t="shared" si="8"/>
        <v/>
      </c>
      <c r="AE25" s="324" t="str">
        <f t="shared" si="8"/>
        <v/>
      </c>
      <c r="AF25" s="324" t="str">
        <f t="shared" si="8"/>
        <v/>
      </c>
      <c r="AG25" s="324" t="str">
        <f t="shared" si="8"/>
        <v/>
      </c>
      <c r="AH25" s="324" t="str">
        <f t="shared" si="8"/>
        <v/>
      </c>
      <c r="AI25" s="324" t="str">
        <f t="shared" si="8"/>
        <v/>
      </c>
      <c r="AJ25" s="324" t="str">
        <f t="shared" si="8"/>
        <v/>
      </c>
      <c r="AK25" s="324" t="str">
        <f t="shared" si="8"/>
        <v/>
      </c>
      <c r="AL25" s="324" t="str">
        <f t="shared" si="8"/>
        <v/>
      </c>
      <c r="AM25" s="325" t="str">
        <f t="shared" si="8"/>
        <v/>
      </c>
    </row>
    <row r="26" spans="1:39" s="326" customFormat="1" ht="11.25" customHeight="1">
      <c r="A26" s="320">
        <v>23</v>
      </c>
      <c r="B26" s="321" t="s">
        <v>334</v>
      </c>
      <c r="C26" s="322">
        <v>15</v>
      </c>
      <c r="D26" s="322">
        <v>4</v>
      </c>
      <c r="E26" s="322">
        <v>12</v>
      </c>
      <c r="F26" s="322">
        <v>8</v>
      </c>
      <c r="G26" s="323">
        <v>0</v>
      </c>
      <c r="H26" s="324" t="str">
        <f t="shared" si="6"/>
        <v/>
      </c>
      <c r="I26" s="324" t="str">
        <f t="shared" si="6"/>
        <v/>
      </c>
      <c r="J26" s="324" t="str">
        <f t="shared" si="6"/>
        <v/>
      </c>
      <c r="K26" s="324" t="str">
        <f t="shared" si="6"/>
        <v/>
      </c>
      <c r="L26" s="324" t="str">
        <f t="shared" si="6"/>
        <v/>
      </c>
      <c r="M26" s="324" t="str">
        <f t="shared" si="6"/>
        <v/>
      </c>
      <c r="N26" s="324" t="str">
        <f t="shared" si="6"/>
        <v/>
      </c>
      <c r="O26" s="324" t="str">
        <f t="shared" si="6"/>
        <v/>
      </c>
      <c r="P26" s="324" t="str">
        <f t="shared" si="6"/>
        <v/>
      </c>
      <c r="Q26" s="324" t="str">
        <f t="shared" si="6"/>
        <v/>
      </c>
      <c r="R26" s="324" t="str">
        <f t="shared" si="7"/>
        <v/>
      </c>
      <c r="S26" s="324" t="str">
        <f t="shared" si="7"/>
        <v/>
      </c>
      <c r="T26" s="324" t="str">
        <f t="shared" si="7"/>
        <v/>
      </c>
      <c r="U26" s="324" t="str">
        <f t="shared" si="7"/>
        <v/>
      </c>
      <c r="V26" s="324" t="str">
        <f t="shared" si="7"/>
        <v/>
      </c>
      <c r="W26" s="324" t="str">
        <f t="shared" si="7"/>
        <v/>
      </c>
      <c r="X26" s="324" t="str">
        <f t="shared" si="7"/>
        <v/>
      </c>
      <c r="Y26" s="324" t="str">
        <f t="shared" si="7"/>
        <v/>
      </c>
      <c r="Z26" s="324" t="str">
        <f t="shared" si="7"/>
        <v/>
      </c>
      <c r="AA26" s="324" t="str">
        <f t="shared" si="7"/>
        <v/>
      </c>
      <c r="AB26" s="324" t="str">
        <f t="shared" si="8"/>
        <v/>
      </c>
      <c r="AC26" s="324" t="str">
        <f t="shared" si="8"/>
        <v/>
      </c>
      <c r="AD26" s="324" t="str">
        <f t="shared" si="8"/>
        <v/>
      </c>
      <c r="AE26" s="324" t="str">
        <f t="shared" si="8"/>
        <v/>
      </c>
      <c r="AF26" s="324" t="str">
        <f t="shared" si="8"/>
        <v/>
      </c>
      <c r="AG26" s="324" t="str">
        <f t="shared" si="8"/>
        <v/>
      </c>
      <c r="AH26" s="324" t="str">
        <f t="shared" si="8"/>
        <v/>
      </c>
      <c r="AI26" s="324" t="str">
        <f t="shared" si="8"/>
        <v/>
      </c>
      <c r="AJ26" s="324" t="str">
        <f t="shared" si="8"/>
        <v/>
      </c>
      <c r="AK26" s="324" t="str">
        <f t="shared" si="8"/>
        <v/>
      </c>
      <c r="AL26" s="324" t="str">
        <f t="shared" si="8"/>
        <v/>
      </c>
      <c r="AM26" s="325" t="str">
        <f t="shared" si="8"/>
        <v/>
      </c>
    </row>
    <row r="27" spans="1:39" s="326" customFormat="1" ht="11.25" customHeight="1">
      <c r="A27" s="320">
        <v>24</v>
      </c>
      <c r="B27" s="321" t="s">
        <v>335</v>
      </c>
      <c r="C27" s="322">
        <v>15</v>
      </c>
      <c r="D27" s="322">
        <v>5</v>
      </c>
      <c r="E27" s="322">
        <v>14</v>
      </c>
      <c r="F27" s="322">
        <v>3</v>
      </c>
      <c r="G27" s="323">
        <v>0</v>
      </c>
      <c r="H27" s="324" t="str">
        <f t="shared" si="6"/>
        <v/>
      </c>
      <c r="I27" s="324" t="str">
        <f t="shared" si="6"/>
        <v/>
      </c>
      <c r="J27" s="324" t="str">
        <f t="shared" si="6"/>
        <v/>
      </c>
      <c r="K27" s="324" t="str">
        <f t="shared" si="6"/>
        <v/>
      </c>
      <c r="L27" s="324" t="str">
        <f t="shared" si="6"/>
        <v/>
      </c>
      <c r="M27" s="324" t="str">
        <f t="shared" si="6"/>
        <v/>
      </c>
      <c r="N27" s="324" t="str">
        <f t="shared" si="6"/>
        <v/>
      </c>
      <c r="O27" s="324" t="str">
        <f t="shared" si="6"/>
        <v/>
      </c>
      <c r="P27" s="324" t="str">
        <f t="shared" si="6"/>
        <v/>
      </c>
      <c r="Q27" s="324" t="str">
        <f t="shared" si="6"/>
        <v/>
      </c>
      <c r="R27" s="324" t="str">
        <f t="shared" si="7"/>
        <v/>
      </c>
      <c r="S27" s="324" t="str">
        <f t="shared" si="7"/>
        <v/>
      </c>
      <c r="T27" s="324" t="str">
        <f t="shared" si="7"/>
        <v/>
      </c>
      <c r="U27" s="324" t="str">
        <f t="shared" si="7"/>
        <v/>
      </c>
      <c r="V27" s="324" t="str">
        <f t="shared" si="7"/>
        <v/>
      </c>
      <c r="W27" s="324" t="str">
        <f t="shared" si="7"/>
        <v/>
      </c>
      <c r="X27" s="324" t="str">
        <f t="shared" si="7"/>
        <v/>
      </c>
      <c r="Y27" s="324" t="str">
        <f t="shared" si="7"/>
        <v/>
      </c>
      <c r="Z27" s="324" t="str">
        <f t="shared" si="7"/>
        <v/>
      </c>
      <c r="AA27" s="324" t="str">
        <f t="shared" si="7"/>
        <v/>
      </c>
      <c r="AB27" s="324" t="str">
        <f t="shared" si="8"/>
        <v/>
      </c>
      <c r="AC27" s="324" t="str">
        <f t="shared" si="8"/>
        <v/>
      </c>
      <c r="AD27" s="324" t="str">
        <f t="shared" si="8"/>
        <v/>
      </c>
      <c r="AE27" s="324" t="str">
        <f t="shared" si="8"/>
        <v/>
      </c>
      <c r="AF27" s="324" t="str">
        <f t="shared" si="8"/>
        <v/>
      </c>
      <c r="AG27" s="324" t="str">
        <f t="shared" si="8"/>
        <v/>
      </c>
      <c r="AH27" s="324" t="str">
        <f t="shared" si="8"/>
        <v/>
      </c>
      <c r="AI27" s="324" t="str">
        <f t="shared" si="8"/>
        <v/>
      </c>
      <c r="AJ27" s="324" t="str">
        <f t="shared" si="8"/>
        <v/>
      </c>
      <c r="AK27" s="324" t="str">
        <f t="shared" si="8"/>
        <v/>
      </c>
      <c r="AL27" s="324" t="str">
        <f t="shared" si="8"/>
        <v/>
      </c>
      <c r="AM27" s="325" t="str">
        <f t="shared" si="8"/>
        <v/>
      </c>
    </row>
    <row r="28" spans="1:39" s="326" customFormat="1" ht="11.25" customHeight="1">
      <c r="A28" s="320">
        <v>25</v>
      </c>
      <c r="B28" s="321" t="s">
        <v>336</v>
      </c>
      <c r="C28" s="322">
        <v>15</v>
      </c>
      <c r="D28" s="322">
        <v>8</v>
      </c>
      <c r="E28" s="322">
        <v>14</v>
      </c>
      <c r="F28" s="322">
        <v>5</v>
      </c>
      <c r="G28" s="323">
        <v>0</v>
      </c>
      <c r="H28" s="324" t="str">
        <f t="shared" si="6"/>
        <v/>
      </c>
      <c r="I28" s="324" t="str">
        <f t="shared" si="6"/>
        <v/>
      </c>
      <c r="J28" s="324" t="str">
        <f t="shared" si="6"/>
        <v/>
      </c>
      <c r="K28" s="324" t="str">
        <f t="shared" si="6"/>
        <v/>
      </c>
      <c r="L28" s="324" t="str">
        <f t="shared" si="6"/>
        <v/>
      </c>
      <c r="M28" s="324" t="str">
        <f t="shared" si="6"/>
        <v/>
      </c>
      <c r="N28" s="324" t="str">
        <f t="shared" si="6"/>
        <v/>
      </c>
      <c r="O28" s="324" t="str">
        <f t="shared" si="6"/>
        <v/>
      </c>
      <c r="P28" s="324" t="str">
        <f t="shared" si="6"/>
        <v/>
      </c>
      <c r="Q28" s="324" t="str">
        <f t="shared" si="6"/>
        <v/>
      </c>
      <c r="R28" s="324" t="str">
        <f t="shared" si="7"/>
        <v/>
      </c>
      <c r="S28" s="324" t="str">
        <f t="shared" si="7"/>
        <v/>
      </c>
      <c r="T28" s="324" t="str">
        <f t="shared" si="7"/>
        <v/>
      </c>
      <c r="U28" s="324" t="str">
        <f t="shared" si="7"/>
        <v/>
      </c>
      <c r="V28" s="324" t="str">
        <f t="shared" si="7"/>
        <v/>
      </c>
      <c r="W28" s="324" t="str">
        <f t="shared" si="7"/>
        <v/>
      </c>
      <c r="X28" s="324" t="str">
        <f t="shared" si="7"/>
        <v/>
      </c>
      <c r="Y28" s="324" t="str">
        <f t="shared" si="7"/>
        <v/>
      </c>
      <c r="Z28" s="324" t="str">
        <f t="shared" si="7"/>
        <v/>
      </c>
      <c r="AA28" s="324" t="str">
        <f t="shared" si="7"/>
        <v/>
      </c>
      <c r="AB28" s="324" t="str">
        <f t="shared" si="8"/>
        <v/>
      </c>
      <c r="AC28" s="324" t="str">
        <f t="shared" si="8"/>
        <v/>
      </c>
      <c r="AD28" s="324" t="str">
        <f t="shared" si="8"/>
        <v/>
      </c>
      <c r="AE28" s="324" t="str">
        <f t="shared" si="8"/>
        <v/>
      </c>
      <c r="AF28" s="324" t="str">
        <f t="shared" si="8"/>
        <v/>
      </c>
      <c r="AG28" s="324" t="str">
        <f t="shared" si="8"/>
        <v/>
      </c>
      <c r="AH28" s="324" t="str">
        <f t="shared" si="8"/>
        <v/>
      </c>
      <c r="AI28" s="324" t="str">
        <f t="shared" si="8"/>
        <v/>
      </c>
      <c r="AJ28" s="324" t="str">
        <f t="shared" si="8"/>
        <v/>
      </c>
      <c r="AK28" s="324" t="str">
        <f t="shared" si="8"/>
        <v/>
      </c>
      <c r="AL28" s="324" t="str">
        <f t="shared" si="8"/>
        <v/>
      </c>
      <c r="AM28" s="325" t="str">
        <f t="shared" si="8"/>
        <v/>
      </c>
    </row>
    <row r="29" spans="1:39" s="326" customFormat="1" ht="11.25" customHeight="1">
      <c r="A29" s="320">
        <v>26</v>
      </c>
      <c r="B29" s="321" t="s">
        <v>337</v>
      </c>
      <c r="C29" s="322">
        <v>16</v>
      </c>
      <c r="D29" s="322">
        <v>8</v>
      </c>
      <c r="E29" s="322">
        <v>15</v>
      </c>
      <c r="F29" s="322">
        <v>1</v>
      </c>
      <c r="G29" s="323">
        <v>0.28000000000000003</v>
      </c>
      <c r="H29" s="324" t="str">
        <f t="shared" si="6"/>
        <v/>
      </c>
      <c r="I29" s="324" t="str">
        <f t="shared" si="6"/>
        <v/>
      </c>
      <c r="J29" s="324" t="str">
        <f t="shared" si="6"/>
        <v/>
      </c>
      <c r="K29" s="324" t="str">
        <f t="shared" si="6"/>
        <v/>
      </c>
      <c r="L29" s="324" t="str">
        <f t="shared" si="6"/>
        <v/>
      </c>
      <c r="M29" s="324" t="str">
        <f t="shared" si="6"/>
        <v/>
      </c>
      <c r="N29" s="324" t="str">
        <f t="shared" si="6"/>
        <v/>
      </c>
      <c r="O29" s="324" t="str">
        <f t="shared" si="6"/>
        <v/>
      </c>
      <c r="P29" s="324" t="str">
        <f t="shared" si="6"/>
        <v/>
      </c>
      <c r="Q29" s="324" t="str">
        <f t="shared" si="6"/>
        <v/>
      </c>
      <c r="R29" s="324" t="str">
        <f t="shared" si="7"/>
        <v/>
      </c>
      <c r="S29" s="324" t="str">
        <f t="shared" si="7"/>
        <v/>
      </c>
      <c r="T29" s="324" t="str">
        <f t="shared" si="7"/>
        <v/>
      </c>
      <c r="U29" s="324" t="str">
        <f t="shared" si="7"/>
        <v/>
      </c>
      <c r="V29" s="324" t="str">
        <f t="shared" si="7"/>
        <v>█</v>
      </c>
      <c r="W29" s="324" t="str">
        <f t="shared" si="7"/>
        <v/>
      </c>
      <c r="X29" s="324" t="str">
        <f t="shared" si="7"/>
        <v/>
      </c>
      <c r="Y29" s="324" t="str">
        <f t="shared" si="7"/>
        <v/>
      </c>
      <c r="Z29" s="324" t="str">
        <f t="shared" si="7"/>
        <v/>
      </c>
      <c r="AA29" s="324" t="str">
        <f t="shared" si="7"/>
        <v/>
      </c>
      <c r="AB29" s="324" t="str">
        <f t="shared" si="8"/>
        <v/>
      </c>
      <c r="AC29" s="324" t="str">
        <f t="shared" si="8"/>
        <v/>
      </c>
      <c r="AD29" s="324" t="str">
        <f t="shared" si="8"/>
        <v/>
      </c>
      <c r="AE29" s="324" t="str">
        <f t="shared" si="8"/>
        <v/>
      </c>
      <c r="AF29" s="324" t="str">
        <f t="shared" si="8"/>
        <v/>
      </c>
      <c r="AG29" s="324" t="str">
        <f t="shared" si="8"/>
        <v/>
      </c>
      <c r="AH29" s="324" t="str">
        <f t="shared" si="8"/>
        <v/>
      </c>
      <c r="AI29" s="324" t="str">
        <f t="shared" si="8"/>
        <v/>
      </c>
      <c r="AJ29" s="324" t="str">
        <f t="shared" si="8"/>
        <v/>
      </c>
      <c r="AK29" s="324" t="str">
        <f t="shared" si="8"/>
        <v/>
      </c>
      <c r="AL29" s="324" t="str">
        <f t="shared" si="8"/>
        <v/>
      </c>
      <c r="AM29" s="325" t="str">
        <f t="shared" si="8"/>
        <v/>
      </c>
    </row>
    <row r="30" spans="1:39" s="326" customFormat="1" ht="11.25" customHeight="1">
      <c r="A30" s="320">
        <v>27</v>
      </c>
      <c r="B30" s="321" t="s">
        <v>338</v>
      </c>
      <c r="C30" s="322">
        <v>17</v>
      </c>
      <c r="D30" s="322">
        <v>2</v>
      </c>
      <c r="E30" s="322">
        <v>15</v>
      </c>
      <c r="F30" s="322">
        <v>2</v>
      </c>
      <c r="G30" s="323">
        <v>0.6</v>
      </c>
      <c r="H30" s="324" t="str">
        <f t="shared" si="6"/>
        <v/>
      </c>
      <c r="I30" s="324" t="str">
        <f t="shared" si="6"/>
        <v/>
      </c>
      <c r="J30" s="324" t="str">
        <f t="shared" si="6"/>
        <v/>
      </c>
      <c r="K30" s="324" t="str">
        <f t="shared" si="6"/>
        <v/>
      </c>
      <c r="L30" s="324" t="str">
        <f t="shared" si="6"/>
        <v/>
      </c>
      <c r="M30" s="324" t="str">
        <f t="shared" si="6"/>
        <v/>
      </c>
      <c r="N30" s="324" t="str">
        <f t="shared" si="6"/>
        <v/>
      </c>
      <c r="O30" s="324" t="str">
        <f t="shared" si="6"/>
        <v/>
      </c>
      <c r="P30" s="324" t="str">
        <f t="shared" si="6"/>
        <v/>
      </c>
      <c r="Q30" s="324" t="str">
        <f t="shared" si="6"/>
        <v/>
      </c>
      <c r="R30" s="324" t="str">
        <f t="shared" si="7"/>
        <v/>
      </c>
      <c r="S30" s="324" t="str">
        <f t="shared" si="7"/>
        <v/>
      </c>
      <c r="T30" s="324" t="str">
        <f t="shared" si="7"/>
        <v/>
      </c>
      <c r="U30" s="324" t="str">
        <f t="shared" si="7"/>
        <v/>
      </c>
      <c r="V30" s="324" t="str">
        <f t="shared" si="7"/>
        <v>█</v>
      </c>
      <c r="W30" s="324" t="str">
        <f t="shared" si="7"/>
        <v>█</v>
      </c>
      <c r="X30" s="324" t="str">
        <f t="shared" si="7"/>
        <v/>
      </c>
      <c r="Y30" s="324" t="str">
        <f t="shared" si="7"/>
        <v/>
      </c>
      <c r="Z30" s="324" t="str">
        <f t="shared" si="7"/>
        <v/>
      </c>
      <c r="AA30" s="324" t="str">
        <f t="shared" si="7"/>
        <v/>
      </c>
      <c r="AB30" s="324" t="str">
        <f t="shared" si="8"/>
        <v/>
      </c>
      <c r="AC30" s="324" t="str">
        <f t="shared" si="8"/>
        <v/>
      </c>
      <c r="AD30" s="324" t="str">
        <f t="shared" si="8"/>
        <v/>
      </c>
      <c r="AE30" s="324" t="str">
        <f t="shared" si="8"/>
        <v/>
      </c>
      <c r="AF30" s="324" t="str">
        <f t="shared" si="8"/>
        <v/>
      </c>
      <c r="AG30" s="324" t="str">
        <f t="shared" si="8"/>
        <v/>
      </c>
      <c r="AH30" s="324" t="str">
        <f t="shared" si="8"/>
        <v/>
      </c>
      <c r="AI30" s="324" t="str">
        <f t="shared" si="8"/>
        <v/>
      </c>
      <c r="AJ30" s="324" t="str">
        <f t="shared" si="8"/>
        <v/>
      </c>
      <c r="AK30" s="324" t="str">
        <f t="shared" si="8"/>
        <v/>
      </c>
      <c r="AL30" s="324" t="str">
        <f t="shared" si="8"/>
        <v/>
      </c>
      <c r="AM30" s="325" t="str">
        <f t="shared" si="8"/>
        <v/>
      </c>
    </row>
    <row r="31" spans="1:39" s="326" customFormat="1" ht="11.25" customHeight="1">
      <c r="A31" s="320">
        <v>28</v>
      </c>
      <c r="B31" s="321" t="s">
        <v>339</v>
      </c>
      <c r="C31" s="322">
        <v>17</v>
      </c>
      <c r="D31" s="322">
        <v>1</v>
      </c>
      <c r="E31" s="322">
        <v>16</v>
      </c>
      <c r="F31" s="322">
        <v>8</v>
      </c>
      <c r="G31" s="323">
        <v>0.25</v>
      </c>
      <c r="H31" s="324" t="str">
        <f t="shared" si="6"/>
        <v/>
      </c>
      <c r="I31" s="324" t="str">
        <f t="shared" si="6"/>
        <v/>
      </c>
      <c r="J31" s="324" t="str">
        <f t="shared" si="6"/>
        <v/>
      </c>
      <c r="K31" s="324" t="str">
        <f t="shared" si="6"/>
        <v/>
      </c>
      <c r="L31" s="324" t="str">
        <f t="shared" si="6"/>
        <v/>
      </c>
      <c r="M31" s="324" t="str">
        <f t="shared" si="6"/>
        <v/>
      </c>
      <c r="N31" s="324" t="str">
        <f t="shared" si="6"/>
        <v/>
      </c>
      <c r="O31" s="324" t="str">
        <f t="shared" si="6"/>
        <v/>
      </c>
      <c r="P31" s="324" t="str">
        <f t="shared" si="6"/>
        <v/>
      </c>
      <c r="Q31" s="324" t="str">
        <f t="shared" si="6"/>
        <v/>
      </c>
      <c r="R31" s="324" t="str">
        <f t="shared" si="7"/>
        <v/>
      </c>
      <c r="S31" s="324" t="str">
        <f t="shared" si="7"/>
        <v/>
      </c>
      <c r="T31" s="324" t="str">
        <f t="shared" si="7"/>
        <v/>
      </c>
      <c r="U31" s="324" t="str">
        <f t="shared" si="7"/>
        <v/>
      </c>
      <c r="V31" s="324" t="str">
        <f t="shared" si="7"/>
        <v/>
      </c>
      <c r="W31" s="324" t="str">
        <f t="shared" si="7"/>
        <v>█</v>
      </c>
      <c r="X31" s="324" t="str">
        <f t="shared" si="7"/>
        <v>█</v>
      </c>
      <c r="Y31" s="324" t="str">
        <f t="shared" si="7"/>
        <v/>
      </c>
      <c r="Z31" s="324" t="str">
        <f t="shared" si="7"/>
        <v/>
      </c>
      <c r="AA31" s="324" t="str">
        <f t="shared" si="7"/>
        <v/>
      </c>
      <c r="AB31" s="324" t="str">
        <f t="shared" si="8"/>
        <v/>
      </c>
      <c r="AC31" s="324" t="str">
        <f t="shared" si="8"/>
        <v/>
      </c>
      <c r="AD31" s="324" t="str">
        <f t="shared" si="8"/>
        <v/>
      </c>
      <c r="AE31" s="324" t="str">
        <f t="shared" si="8"/>
        <v/>
      </c>
      <c r="AF31" s="324" t="str">
        <f t="shared" si="8"/>
        <v/>
      </c>
      <c r="AG31" s="324" t="str">
        <f t="shared" si="8"/>
        <v/>
      </c>
      <c r="AH31" s="324" t="str">
        <f t="shared" si="8"/>
        <v/>
      </c>
      <c r="AI31" s="324" t="str">
        <f t="shared" si="8"/>
        <v/>
      </c>
      <c r="AJ31" s="324" t="str">
        <f t="shared" si="8"/>
        <v/>
      </c>
      <c r="AK31" s="324" t="str">
        <f t="shared" si="8"/>
        <v/>
      </c>
      <c r="AL31" s="324" t="str">
        <f t="shared" si="8"/>
        <v/>
      </c>
      <c r="AM31" s="325" t="str">
        <f t="shared" si="8"/>
        <v/>
      </c>
    </row>
    <row r="32" spans="1:39" s="326" customFormat="1" ht="11.25" customHeight="1">
      <c r="A32" s="320">
        <v>29</v>
      </c>
      <c r="B32" s="321" t="s">
        <v>340</v>
      </c>
      <c r="C32" s="322">
        <v>17</v>
      </c>
      <c r="D32" s="322">
        <v>5</v>
      </c>
      <c r="E32" s="322">
        <v>16</v>
      </c>
      <c r="F32" s="322">
        <v>3</v>
      </c>
      <c r="G32" s="323">
        <v>0.05</v>
      </c>
      <c r="H32" s="324" t="str">
        <f t="shared" si="6"/>
        <v/>
      </c>
      <c r="I32" s="324" t="str">
        <f t="shared" si="6"/>
        <v/>
      </c>
      <c r="J32" s="324" t="str">
        <f t="shared" si="6"/>
        <v/>
      </c>
      <c r="K32" s="324" t="str">
        <f t="shared" si="6"/>
        <v/>
      </c>
      <c r="L32" s="324" t="str">
        <f t="shared" si="6"/>
        <v/>
      </c>
      <c r="M32" s="324" t="str">
        <f t="shared" si="6"/>
        <v/>
      </c>
      <c r="N32" s="324" t="str">
        <f t="shared" si="6"/>
        <v/>
      </c>
      <c r="O32" s="324" t="str">
        <f t="shared" si="6"/>
        <v/>
      </c>
      <c r="P32" s="324" t="str">
        <f t="shared" si="6"/>
        <v/>
      </c>
      <c r="Q32" s="324" t="str">
        <f t="shared" si="6"/>
        <v/>
      </c>
      <c r="R32" s="324" t="str">
        <f t="shared" si="7"/>
        <v/>
      </c>
      <c r="S32" s="324" t="str">
        <f t="shared" si="7"/>
        <v/>
      </c>
      <c r="T32" s="324" t="str">
        <f t="shared" si="7"/>
        <v/>
      </c>
      <c r="U32" s="324" t="str">
        <f t="shared" si="7"/>
        <v/>
      </c>
      <c r="V32" s="324" t="str">
        <f t="shared" si="7"/>
        <v/>
      </c>
      <c r="W32" s="324" t="str">
        <f t="shared" si="7"/>
        <v>█</v>
      </c>
      <c r="X32" s="324" t="str">
        <f t="shared" si="7"/>
        <v/>
      </c>
      <c r="Y32" s="324" t="str">
        <f t="shared" si="7"/>
        <v/>
      </c>
      <c r="Z32" s="324" t="str">
        <f t="shared" si="7"/>
        <v/>
      </c>
      <c r="AA32" s="324" t="str">
        <f t="shared" si="7"/>
        <v/>
      </c>
      <c r="AB32" s="324" t="str">
        <f t="shared" si="8"/>
        <v/>
      </c>
      <c r="AC32" s="324" t="str">
        <f t="shared" si="8"/>
        <v/>
      </c>
      <c r="AD32" s="324" t="str">
        <f t="shared" si="8"/>
        <v/>
      </c>
      <c r="AE32" s="324" t="str">
        <f t="shared" si="8"/>
        <v/>
      </c>
      <c r="AF32" s="324" t="str">
        <f t="shared" si="8"/>
        <v/>
      </c>
      <c r="AG32" s="324" t="str">
        <f t="shared" si="8"/>
        <v/>
      </c>
      <c r="AH32" s="324" t="str">
        <f t="shared" si="8"/>
        <v/>
      </c>
      <c r="AI32" s="324" t="str">
        <f t="shared" si="8"/>
        <v/>
      </c>
      <c r="AJ32" s="324" t="str">
        <f t="shared" si="8"/>
        <v/>
      </c>
      <c r="AK32" s="324" t="str">
        <f t="shared" si="8"/>
        <v/>
      </c>
      <c r="AL32" s="324" t="str">
        <f t="shared" si="8"/>
        <v/>
      </c>
      <c r="AM32" s="325" t="str">
        <f t="shared" si="8"/>
        <v/>
      </c>
    </row>
    <row r="33" spans="1:39" s="326" customFormat="1" ht="11.25" customHeight="1">
      <c r="A33" s="320">
        <v>30</v>
      </c>
      <c r="B33" s="321" t="s">
        <v>341</v>
      </c>
      <c r="C33" s="322">
        <v>18</v>
      </c>
      <c r="D33" s="322">
        <v>1</v>
      </c>
      <c r="E33" s="322">
        <v>16</v>
      </c>
      <c r="F33" s="322">
        <v>3</v>
      </c>
      <c r="G33" s="323">
        <v>0.16</v>
      </c>
      <c r="H33" s="324" t="str">
        <f t="shared" si="6"/>
        <v/>
      </c>
      <c r="I33" s="324" t="str">
        <f t="shared" si="6"/>
        <v/>
      </c>
      <c r="J33" s="324" t="str">
        <f t="shared" si="6"/>
        <v/>
      </c>
      <c r="K33" s="324" t="str">
        <f t="shared" si="6"/>
        <v/>
      </c>
      <c r="L33" s="324" t="str">
        <f t="shared" si="6"/>
        <v/>
      </c>
      <c r="M33" s="324" t="str">
        <f t="shared" si="6"/>
        <v/>
      </c>
      <c r="N33" s="324" t="str">
        <f t="shared" si="6"/>
        <v/>
      </c>
      <c r="O33" s="324" t="str">
        <f t="shared" si="6"/>
        <v/>
      </c>
      <c r="P33" s="324" t="str">
        <f t="shared" si="6"/>
        <v/>
      </c>
      <c r="Q33" s="324" t="str">
        <f t="shared" si="6"/>
        <v/>
      </c>
      <c r="R33" s="324" t="str">
        <f t="shared" si="7"/>
        <v/>
      </c>
      <c r="S33" s="324" t="str">
        <f t="shared" si="7"/>
        <v/>
      </c>
      <c r="T33" s="324" t="str">
        <f t="shared" si="7"/>
        <v/>
      </c>
      <c r="U33" s="324" t="str">
        <f t="shared" si="7"/>
        <v/>
      </c>
      <c r="V33" s="324" t="str">
        <f t="shared" si="7"/>
        <v/>
      </c>
      <c r="W33" s="324" t="str">
        <f t="shared" si="7"/>
        <v>█</v>
      </c>
      <c r="X33" s="324" t="str">
        <f t="shared" si="7"/>
        <v/>
      </c>
      <c r="Y33" s="324" t="str">
        <f t="shared" si="7"/>
        <v/>
      </c>
      <c r="Z33" s="324" t="str">
        <f t="shared" si="7"/>
        <v/>
      </c>
      <c r="AA33" s="324" t="str">
        <f t="shared" si="7"/>
        <v/>
      </c>
      <c r="AB33" s="324" t="str">
        <f t="shared" si="8"/>
        <v/>
      </c>
      <c r="AC33" s="324" t="str">
        <f t="shared" si="8"/>
        <v/>
      </c>
      <c r="AD33" s="324" t="str">
        <f t="shared" si="8"/>
        <v/>
      </c>
      <c r="AE33" s="324" t="str">
        <f t="shared" si="8"/>
        <v/>
      </c>
      <c r="AF33" s="324" t="str">
        <f t="shared" si="8"/>
        <v/>
      </c>
      <c r="AG33" s="324" t="str">
        <f t="shared" si="8"/>
        <v/>
      </c>
      <c r="AH33" s="324" t="str">
        <f t="shared" si="8"/>
        <v/>
      </c>
      <c r="AI33" s="324" t="str">
        <f t="shared" si="8"/>
        <v/>
      </c>
      <c r="AJ33" s="324" t="str">
        <f t="shared" si="8"/>
        <v/>
      </c>
      <c r="AK33" s="324" t="str">
        <f t="shared" si="8"/>
        <v/>
      </c>
      <c r="AL33" s="324" t="str">
        <f t="shared" si="8"/>
        <v/>
      </c>
      <c r="AM33" s="325" t="str">
        <f t="shared" si="8"/>
        <v/>
      </c>
    </row>
    <row r="34" spans="1:39" s="326" customFormat="1" ht="11.25" customHeight="1">
      <c r="A34" s="320">
        <v>31</v>
      </c>
      <c r="B34" s="321" t="s">
        <v>342</v>
      </c>
      <c r="C34" s="322">
        <v>18</v>
      </c>
      <c r="D34" s="322">
        <v>1</v>
      </c>
      <c r="E34" s="322">
        <v>17</v>
      </c>
      <c r="F34" s="322">
        <v>4</v>
      </c>
      <c r="G34" s="323">
        <v>0.03</v>
      </c>
      <c r="H34" s="324" t="str">
        <f t="shared" ref="H34:Q43" si="9">IF($N$1=INDEX(ganttTypes,1),IF(AND(H$3&gt;=$C34,H$3&lt;=$C34+$D34),IF($C34+$D34*$G34&gt;H$3,$Y$1,""),""),IF(AND(H$3&gt;=$E34,H$3&lt;=$E34+$F34),IF($E34+$F34*$G34&gt;H$3,$Y$1,""),""))</f>
        <v/>
      </c>
      <c r="I34" s="324" t="str">
        <f t="shared" si="9"/>
        <v/>
      </c>
      <c r="J34" s="324" t="str">
        <f t="shared" si="9"/>
        <v/>
      </c>
      <c r="K34" s="324" t="str">
        <f t="shared" si="9"/>
        <v/>
      </c>
      <c r="L34" s="324" t="str">
        <f t="shared" si="9"/>
        <v/>
      </c>
      <c r="M34" s="324" t="str">
        <f t="shared" si="9"/>
        <v/>
      </c>
      <c r="N34" s="324" t="str">
        <f t="shared" si="9"/>
        <v/>
      </c>
      <c r="O34" s="324" t="str">
        <f t="shared" si="9"/>
        <v/>
      </c>
      <c r="P34" s="324" t="str">
        <f t="shared" si="9"/>
        <v/>
      </c>
      <c r="Q34" s="324" t="str">
        <f t="shared" si="9"/>
        <v/>
      </c>
      <c r="R34" s="324" t="str">
        <f t="shared" ref="R34:AA43" si="10">IF($N$1=INDEX(ganttTypes,1),IF(AND(R$3&gt;=$C34,R$3&lt;=$C34+$D34),IF($C34+$D34*$G34&gt;R$3,$Y$1,""),""),IF(AND(R$3&gt;=$E34,R$3&lt;=$E34+$F34),IF($E34+$F34*$G34&gt;R$3,$Y$1,""),""))</f>
        <v/>
      </c>
      <c r="S34" s="324" t="str">
        <f t="shared" si="10"/>
        <v/>
      </c>
      <c r="T34" s="324" t="str">
        <f t="shared" si="10"/>
        <v/>
      </c>
      <c r="U34" s="324" t="str">
        <f t="shared" si="10"/>
        <v/>
      </c>
      <c r="V34" s="324" t="str">
        <f t="shared" si="10"/>
        <v/>
      </c>
      <c r="W34" s="324" t="str">
        <f t="shared" si="10"/>
        <v/>
      </c>
      <c r="X34" s="324" t="str">
        <f t="shared" si="10"/>
        <v>█</v>
      </c>
      <c r="Y34" s="324" t="str">
        <f t="shared" si="10"/>
        <v/>
      </c>
      <c r="Z34" s="324" t="str">
        <f t="shared" si="10"/>
        <v/>
      </c>
      <c r="AA34" s="324" t="str">
        <f t="shared" si="10"/>
        <v/>
      </c>
      <c r="AB34" s="324" t="str">
        <f t="shared" ref="AB34:AM43" si="11">IF($N$1=INDEX(ganttTypes,1),IF(AND(AB$3&gt;=$C34,AB$3&lt;=$C34+$D34),IF($C34+$D34*$G34&gt;AB$3,$Y$1,""),""),IF(AND(AB$3&gt;=$E34,AB$3&lt;=$E34+$F34),IF($E34+$F34*$G34&gt;AB$3,$Y$1,""),""))</f>
        <v/>
      </c>
      <c r="AC34" s="324" t="str">
        <f t="shared" si="11"/>
        <v/>
      </c>
      <c r="AD34" s="324" t="str">
        <f t="shared" si="11"/>
        <v/>
      </c>
      <c r="AE34" s="324" t="str">
        <f t="shared" si="11"/>
        <v/>
      </c>
      <c r="AF34" s="324" t="str">
        <f t="shared" si="11"/>
        <v/>
      </c>
      <c r="AG34" s="324" t="str">
        <f t="shared" si="11"/>
        <v/>
      </c>
      <c r="AH34" s="324" t="str">
        <f t="shared" si="11"/>
        <v/>
      </c>
      <c r="AI34" s="324" t="str">
        <f t="shared" si="11"/>
        <v/>
      </c>
      <c r="AJ34" s="324" t="str">
        <f t="shared" si="11"/>
        <v/>
      </c>
      <c r="AK34" s="324" t="str">
        <f t="shared" si="11"/>
        <v/>
      </c>
      <c r="AL34" s="324" t="str">
        <f t="shared" si="11"/>
        <v/>
      </c>
      <c r="AM34" s="325" t="str">
        <f t="shared" si="11"/>
        <v/>
      </c>
    </row>
    <row r="35" spans="1:39" s="326" customFormat="1" ht="11.25" customHeight="1">
      <c r="A35" s="320">
        <v>32</v>
      </c>
      <c r="B35" s="321" t="s">
        <v>343</v>
      </c>
      <c r="C35" s="322">
        <v>19</v>
      </c>
      <c r="D35" s="322">
        <v>6</v>
      </c>
      <c r="E35" s="322">
        <v>18</v>
      </c>
      <c r="F35" s="322">
        <v>7</v>
      </c>
      <c r="G35" s="323">
        <v>0.41</v>
      </c>
      <c r="H35" s="324" t="str">
        <f t="shared" si="9"/>
        <v/>
      </c>
      <c r="I35" s="324" t="str">
        <f t="shared" si="9"/>
        <v/>
      </c>
      <c r="J35" s="324" t="str">
        <f t="shared" si="9"/>
        <v/>
      </c>
      <c r="K35" s="324" t="str">
        <f t="shared" si="9"/>
        <v/>
      </c>
      <c r="L35" s="324" t="str">
        <f t="shared" si="9"/>
        <v/>
      </c>
      <c r="M35" s="324" t="str">
        <f t="shared" si="9"/>
        <v/>
      </c>
      <c r="N35" s="324" t="str">
        <f t="shared" si="9"/>
        <v/>
      </c>
      <c r="O35" s="324" t="str">
        <f t="shared" si="9"/>
        <v/>
      </c>
      <c r="P35" s="324" t="str">
        <f t="shared" si="9"/>
        <v/>
      </c>
      <c r="Q35" s="324" t="str">
        <f t="shared" si="9"/>
        <v/>
      </c>
      <c r="R35" s="324" t="str">
        <f t="shared" si="10"/>
        <v/>
      </c>
      <c r="S35" s="324" t="str">
        <f t="shared" si="10"/>
        <v/>
      </c>
      <c r="T35" s="324" t="str">
        <f t="shared" si="10"/>
        <v/>
      </c>
      <c r="U35" s="324" t="str">
        <f t="shared" si="10"/>
        <v/>
      </c>
      <c r="V35" s="324" t="str">
        <f t="shared" si="10"/>
        <v/>
      </c>
      <c r="W35" s="324" t="str">
        <f t="shared" si="10"/>
        <v/>
      </c>
      <c r="X35" s="324" t="str">
        <f t="shared" si="10"/>
        <v/>
      </c>
      <c r="Y35" s="324" t="str">
        <f t="shared" si="10"/>
        <v>█</v>
      </c>
      <c r="Z35" s="324" t="str">
        <f t="shared" si="10"/>
        <v>█</v>
      </c>
      <c r="AA35" s="324" t="str">
        <f t="shared" si="10"/>
        <v>█</v>
      </c>
      <c r="AB35" s="324" t="str">
        <f t="shared" si="11"/>
        <v/>
      </c>
      <c r="AC35" s="324" t="str">
        <f t="shared" si="11"/>
        <v/>
      </c>
      <c r="AD35" s="324" t="str">
        <f t="shared" si="11"/>
        <v/>
      </c>
      <c r="AE35" s="324" t="str">
        <f t="shared" si="11"/>
        <v/>
      </c>
      <c r="AF35" s="324" t="str">
        <f t="shared" si="11"/>
        <v/>
      </c>
      <c r="AG35" s="324" t="str">
        <f t="shared" si="11"/>
        <v/>
      </c>
      <c r="AH35" s="324" t="str">
        <f t="shared" si="11"/>
        <v/>
      </c>
      <c r="AI35" s="324" t="str">
        <f t="shared" si="11"/>
        <v/>
      </c>
      <c r="AJ35" s="324" t="str">
        <f t="shared" si="11"/>
        <v/>
      </c>
      <c r="AK35" s="324" t="str">
        <f t="shared" si="11"/>
        <v/>
      </c>
      <c r="AL35" s="324" t="str">
        <f t="shared" si="11"/>
        <v/>
      </c>
      <c r="AM35" s="325" t="str">
        <f t="shared" si="11"/>
        <v/>
      </c>
    </row>
    <row r="36" spans="1:39" s="326" customFormat="1" ht="11.25" customHeight="1">
      <c r="A36" s="320">
        <v>33</v>
      </c>
      <c r="B36" s="321" t="s">
        <v>344</v>
      </c>
      <c r="C36" s="322">
        <v>19</v>
      </c>
      <c r="D36" s="322">
        <v>6</v>
      </c>
      <c r="E36" s="322">
        <v>21</v>
      </c>
      <c r="F36" s="322">
        <v>5</v>
      </c>
      <c r="G36" s="323">
        <v>0.31</v>
      </c>
      <c r="H36" s="324" t="str">
        <f t="shared" si="9"/>
        <v/>
      </c>
      <c r="I36" s="324" t="str">
        <f t="shared" si="9"/>
        <v/>
      </c>
      <c r="J36" s="324" t="str">
        <f t="shared" si="9"/>
        <v/>
      </c>
      <c r="K36" s="324" t="str">
        <f t="shared" si="9"/>
        <v/>
      </c>
      <c r="L36" s="324" t="str">
        <f t="shared" si="9"/>
        <v/>
      </c>
      <c r="M36" s="324" t="str">
        <f t="shared" si="9"/>
        <v/>
      </c>
      <c r="N36" s="324" t="str">
        <f t="shared" si="9"/>
        <v/>
      </c>
      <c r="O36" s="324" t="str">
        <f t="shared" si="9"/>
        <v/>
      </c>
      <c r="P36" s="324" t="str">
        <f t="shared" si="9"/>
        <v/>
      </c>
      <c r="Q36" s="324" t="str">
        <f t="shared" si="9"/>
        <v/>
      </c>
      <c r="R36" s="324" t="str">
        <f t="shared" si="10"/>
        <v/>
      </c>
      <c r="S36" s="324" t="str">
        <f t="shared" si="10"/>
        <v/>
      </c>
      <c r="T36" s="324" t="str">
        <f t="shared" si="10"/>
        <v/>
      </c>
      <c r="U36" s="324" t="str">
        <f t="shared" si="10"/>
        <v/>
      </c>
      <c r="V36" s="324" t="str">
        <f t="shared" si="10"/>
        <v/>
      </c>
      <c r="W36" s="324" t="str">
        <f t="shared" si="10"/>
        <v/>
      </c>
      <c r="X36" s="324" t="str">
        <f t="shared" si="10"/>
        <v/>
      </c>
      <c r="Y36" s="324" t="str">
        <f t="shared" si="10"/>
        <v/>
      </c>
      <c r="Z36" s="324" t="str">
        <f t="shared" si="10"/>
        <v/>
      </c>
      <c r="AA36" s="324" t="str">
        <f t="shared" si="10"/>
        <v/>
      </c>
      <c r="AB36" s="324" t="str">
        <f t="shared" si="11"/>
        <v>█</v>
      </c>
      <c r="AC36" s="324" t="str">
        <f t="shared" si="11"/>
        <v>█</v>
      </c>
      <c r="AD36" s="324" t="str">
        <f t="shared" si="11"/>
        <v/>
      </c>
      <c r="AE36" s="324" t="str">
        <f t="shared" si="11"/>
        <v/>
      </c>
      <c r="AF36" s="324" t="str">
        <f t="shared" si="11"/>
        <v/>
      </c>
      <c r="AG36" s="324" t="str">
        <f t="shared" si="11"/>
        <v/>
      </c>
      <c r="AH36" s="324" t="str">
        <f t="shared" si="11"/>
        <v/>
      </c>
      <c r="AI36" s="324" t="str">
        <f t="shared" si="11"/>
        <v/>
      </c>
      <c r="AJ36" s="324" t="str">
        <f t="shared" si="11"/>
        <v/>
      </c>
      <c r="AK36" s="324" t="str">
        <f t="shared" si="11"/>
        <v/>
      </c>
      <c r="AL36" s="324" t="str">
        <f t="shared" si="11"/>
        <v/>
      </c>
      <c r="AM36" s="325" t="str">
        <f t="shared" si="11"/>
        <v/>
      </c>
    </row>
    <row r="37" spans="1:39" s="326" customFormat="1" ht="11.25" customHeight="1">
      <c r="A37" s="320">
        <v>34</v>
      </c>
      <c r="B37" s="321" t="s">
        <v>345</v>
      </c>
      <c r="C37" s="322">
        <v>21</v>
      </c>
      <c r="D37" s="322">
        <v>8</v>
      </c>
      <c r="E37" s="322">
        <v>22</v>
      </c>
      <c r="F37" s="322">
        <v>7</v>
      </c>
      <c r="G37" s="323">
        <v>0</v>
      </c>
      <c r="H37" s="324" t="str">
        <f t="shared" si="9"/>
        <v/>
      </c>
      <c r="I37" s="324" t="str">
        <f t="shared" si="9"/>
        <v/>
      </c>
      <c r="J37" s="324" t="str">
        <f t="shared" si="9"/>
        <v/>
      </c>
      <c r="K37" s="324" t="str">
        <f t="shared" si="9"/>
        <v/>
      </c>
      <c r="L37" s="324" t="str">
        <f t="shared" si="9"/>
        <v/>
      </c>
      <c r="M37" s="324" t="str">
        <f t="shared" si="9"/>
        <v/>
      </c>
      <c r="N37" s="324" t="str">
        <f t="shared" si="9"/>
        <v/>
      </c>
      <c r="O37" s="324" t="str">
        <f t="shared" si="9"/>
        <v/>
      </c>
      <c r="P37" s="324" t="str">
        <f t="shared" si="9"/>
        <v/>
      </c>
      <c r="Q37" s="324" t="str">
        <f t="shared" si="9"/>
        <v/>
      </c>
      <c r="R37" s="324" t="str">
        <f t="shared" si="10"/>
        <v/>
      </c>
      <c r="S37" s="324" t="str">
        <f t="shared" si="10"/>
        <v/>
      </c>
      <c r="T37" s="324" t="str">
        <f t="shared" si="10"/>
        <v/>
      </c>
      <c r="U37" s="324" t="str">
        <f t="shared" si="10"/>
        <v/>
      </c>
      <c r="V37" s="324" t="str">
        <f t="shared" si="10"/>
        <v/>
      </c>
      <c r="W37" s="324" t="str">
        <f t="shared" si="10"/>
        <v/>
      </c>
      <c r="X37" s="324" t="str">
        <f t="shared" si="10"/>
        <v/>
      </c>
      <c r="Y37" s="324" t="str">
        <f t="shared" si="10"/>
        <v/>
      </c>
      <c r="Z37" s="324" t="str">
        <f t="shared" si="10"/>
        <v/>
      </c>
      <c r="AA37" s="324" t="str">
        <f t="shared" si="10"/>
        <v/>
      </c>
      <c r="AB37" s="324" t="str">
        <f t="shared" si="11"/>
        <v/>
      </c>
      <c r="AC37" s="324" t="str">
        <f t="shared" si="11"/>
        <v/>
      </c>
      <c r="AD37" s="324" t="str">
        <f t="shared" si="11"/>
        <v/>
      </c>
      <c r="AE37" s="324" t="str">
        <f t="shared" si="11"/>
        <v/>
      </c>
      <c r="AF37" s="324" t="str">
        <f t="shared" si="11"/>
        <v/>
      </c>
      <c r="AG37" s="324" t="str">
        <f t="shared" si="11"/>
        <v/>
      </c>
      <c r="AH37" s="324" t="str">
        <f t="shared" si="11"/>
        <v/>
      </c>
      <c r="AI37" s="324" t="str">
        <f t="shared" si="11"/>
        <v/>
      </c>
      <c r="AJ37" s="324" t="str">
        <f t="shared" si="11"/>
        <v/>
      </c>
      <c r="AK37" s="324" t="str">
        <f t="shared" si="11"/>
        <v/>
      </c>
      <c r="AL37" s="324" t="str">
        <f t="shared" si="11"/>
        <v/>
      </c>
      <c r="AM37" s="325" t="str">
        <f t="shared" si="11"/>
        <v/>
      </c>
    </row>
    <row r="38" spans="1:39" s="326" customFormat="1" ht="11.25" customHeight="1">
      <c r="A38" s="320">
        <v>35</v>
      </c>
      <c r="B38" s="321" t="s">
        <v>346</v>
      </c>
      <c r="C38" s="322">
        <v>21</v>
      </c>
      <c r="D38" s="322">
        <v>1</v>
      </c>
      <c r="E38" s="322">
        <v>23</v>
      </c>
      <c r="F38" s="322">
        <v>3</v>
      </c>
      <c r="G38" s="323">
        <v>0</v>
      </c>
      <c r="H38" s="324" t="str">
        <f t="shared" si="9"/>
        <v/>
      </c>
      <c r="I38" s="324" t="str">
        <f t="shared" si="9"/>
        <v/>
      </c>
      <c r="J38" s="324" t="str">
        <f t="shared" si="9"/>
        <v/>
      </c>
      <c r="K38" s="324" t="str">
        <f t="shared" si="9"/>
        <v/>
      </c>
      <c r="L38" s="324" t="str">
        <f t="shared" si="9"/>
        <v/>
      </c>
      <c r="M38" s="324" t="str">
        <f t="shared" si="9"/>
        <v/>
      </c>
      <c r="N38" s="324" t="str">
        <f t="shared" si="9"/>
        <v/>
      </c>
      <c r="O38" s="324" t="str">
        <f t="shared" si="9"/>
        <v/>
      </c>
      <c r="P38" s="324" t="str">
        <f t="shared" si="9"/>
        <v/>
      </c>
      <c r="Q38" s="324" t="str">
        <f t="shared" si="9"/>
        <v/>
      </c>
      <c r="R38" s="324" t="str">
        <f t="shared" si="10"/>
        <v/>
      </c>
      <c r="S38" s="324" t="str">
        <f t="shared" si="10"/>
        <v/>
      </c>
      <c r="T38" s="324" t="str">
        <f t="shared" si="10"/>
        <v/>
      </c>
      <c r="U38" s="324" t="str">
        <f t="shared" si="10"/>
        <v/>
      </c>
      <c r="V38" s="324" t="str">
        <f t="shared" si="10"/>
        <v/>
      </c>
      <c r="W38" s="324" t="str">
        <f t="shared" si="10"/>
        <v/>
      </c>
      <c r="X38" s="324" t="str">
        <f t="shared" si="10"/>
        <v/>
      </c>
      <c r="Y38" s="324" t="str">
        <f t="shared" si="10"/>
        <v/>
      </c>
      <c r="Z38" s="324" t="str">
        <f t="shared" si="10"/>
        <v/>
      </c>
      <c r="AA38" s="324" t="str">
        <f t="shared" si="10"/>
        <v/>
      </c>
      <c r="AB38" s="324" t="str">
        <f t="shared" si="11"/>
        <v/>
      </c>
      <c r="AC38" s="324" t="str">
        <f t="shared" si="11"/>
        <v/>
      </c>
      <c r="AD38" s="324" t="str">
        <f t="shared" si="11"/>
        <v/>
      </c>
      <c r="AE38" s="324" t="str">
        <f t="shared" si="11"/>
        <v/>
      </c>
      <c r="AF38" s="324" t="str">
        <f t="shared" si="11"/>
        <v/>
      </c>
      <c r="AG38" s="324" t="str">
        <f t="shared" si="11"/>
        <v/>
      </c>
      <c r="AH38" s="324" t="str">
        <f t="shared" si="11"/>
        <v/>
      </c>
      <c r="AI38" s="324" t="str">
        <f t="shared" si="11"/>
        <v/>
      </c>
      <c r="AJ38" s="324" t="str">
        <f t="shared" si="11"/>
        <v/>
      </c>
      <c r="AK38" s="324" t="str">
        <f t="shared" si="11"/>
        <v/>
      </c>
      <c r="AL38" s="324" t="str">
        <f t="shared" si="11"/>
        <v/>
      </c>
      <c r="AM38" s="325" t="str">
        <f t="shared" si="11"/>
        <v/>
      </c>
    </row>
    <row r="39" spans="1:39" s="326" customFormat="1" ht="11.25" customHeight="1">
      <c r="A39" s="320">
        <v>36</v>
      </c>
      <c r="B39" s="321" t="s">
        <v>347</v>
      </c>
      <c r="C39" s="322">
        <v>23</v>
      </c>
      <c r="D39" s="322">
        <v>4</v>
      </c>
      <c r="E39" s="322">
        <v>24</v>
      </c>
      <c r="F39" s="322">
        <v>6</v>
      </c>
      <c r="G39" s="323">
        <v>0</v>
      </c>
      <c r="H39" s="324" t="str">
        <f t="shared" si="9"/>
        <v/>
      </c>
      <c r="I39" s="324" t="str">
        <f t="shared" si="9"/>
        <v/>
      </c>
      <c r="J39" s="324" t="str">
        <f t="shared" si="9"/>
        <v/>
      </c>
      <c r="K39" s="324" t="str">
        <f t="shared" si="9"/>
        <v/>
      </c>
      <c r="L39" s="324" t="str">
        <f t="shared" si="9"/>
        <v/>
      </c>
      <c r="M39" s="324" t="str">
        <f t="shared" si="9"/>
        <v/>
      </c>
      <c r="N39" s="324" t="str">
        <f t="shared" si="9"/>
        <v/>
      </c>
      <c r="O39" s="324" t="str">
        <f t="shared" si="9"/>
        <v/>
      </c>
      <c r="P39" s="324" t="str">
        <f t="shared" si="9"/>
        <v/>
      </c>
      <c r="Q39" s="324" t="str">
        <f t="shared" si="9"/>
        <v/>
      </c>
      <c r="R39" s="324" t="str">
        <f t="shared" si="10"/>
        <v/>
      </c>
      <c r="S39" s="324" t="str">
        <f t="shared" si="10"/>
        <v/>
      </c>
      <c r="T39" s="324" t="str">
        <f t="shared" si="10"/>
        <v/>
      </c>
      <c r="U39" s="324" t="str">
        <f t="shared" si="10"/>
        <v/>
      </c>
      <c r="V39" s="324" t="str">
        <f t="shared" si="10"/>
        <v/>
      </c>
      <c r="W39" s="324" t="str">
        <f t="shared" si="10"/>
        <v/>
      </c>
      <c r="X39" s="324" t="str">
        <f t="shared" si="10"/>
        <v/>
      </c>
      <c r="Y39" s="324" t="str">
        <f t="shared" si="10"/>
        <v/>
      </c>
      <c r="Z39" s="324" t="str">
        <f t="shared" si="10"/>
        <v/>
      </c>
      <c r="AA39" s="324" t="str">
        <f t="shared" si="10"/>
        <v/>
      </c>
      <c r="AB39" s="324" t="str">
        <f t="shared" si="11"/>
        <v/>
      </c>
      <c r="AC39" s="324" t="str">
        <f t="shared" si="11"/>
        <v/>
      </c>
      <c r="AD39" s="324" t="str">
        <f t="shared" si="11"/>
        <v/>
      </c>
      <c r="AE39" s="324" t="str">
        <f t="shared" si="11"/>
        <v/>
      </c>
      <c r="AF39" s="324" t="str">
        <f t="shared" si="11"/>
        <v/>
      </c>
      <c r="AG39" s="324" t="str">
        <f t="shared" si="11"/>
        <v/>
      </c>
      <c r="AH39" s="324" t="str">
        <f t="shared" si="11"/>
        <v/>
      </c>
      <c r="AI39" s="324" t="str">
        <f t="shared" si="11"/>
        <v/>
      </c>
      <c r="AJ39" s="324" t="str">
        <f t="shared" si="11"/>
        <v/>
      </c>
      <c r="AK39" s="324" t="str">
        <f t="shared" si="11"/>
        <v/>
      </c>
      <c r="AL39" s="324" t="str">
        <f t="shared" si="11"/>
        <v/>
      </c>
      <c r="AM39" s="325" t="str">
        <f t="shared" si="11"/>
        <v/>
      </c>
    </row>
    <row r="40" spans="1:39" s="326" customFormat="1" ht="11.25" customHeight="1">
      <c r="A40" s="320">
        <v>37</v>
      </c>
      <c r="B40" s="321" t="s">
        <v>348</v>
      </c>
      <c r="C40" s="322">
        <v>24</v>
      </c>
      <c r="D40" s="322">
        <v>1</v>
      </c>
      <c r="E40" s="322">
        <v>24</v>
      </c>
      <c r="F40" s="322">
        <v>3</v>
      </c>
      <c r="G40" s="323">
        <v>0</v>
      </c>
      <c r="H40" s="324" t="str">
        <f t="shared" si="9"/>
        <v/>
      </c>
      <c r="I40" s="324" t="str">
        <f t="shared" si="9"/>
        <v/>
      </c>
      <c r="J40" s="324" t="str">
        <f t="shared" si="9"/>
        <v/>
      </c>
      <c r="K40" s="324" t="str">
        <f t="shared" si="9"/>
        <v/>
      </c>
      <c r="L40" s="324" t="str">
        <f t="shared" si="9"/>
        <v/>
      </c>
      <c r="M40" s="324" t="str">
        <f t="shared" si="9"/>
        <v/>
      </c>
      <c r="N40" s="324" t="str">
        <f t="shared" si="9"/>
        <v/>
      </c>
      <c r="O40" s="324" t="str">
        <f t="shared" si="9"/>
        <v/>
      </c>
      <c r="P40" s="324" t="str">
        <f t="shared" si="9"/>
        <v/>
      </c>
      <c r="Q40" s="324" t="str">
        <f t="shared" si="9"/>
        <v/>
      </c>
      <c r="R40" s="324" t="str">
        <f t="shared" si="10"/>
        <v/>
      </c>
      <c r="S40" s="324" t="str">
        <f t="shared" si="10"/>
        <v/>
      </c>
      <c r="T40" s="324" t="str">
        <f t="shared" si="10"/>
        <v/>
      </c>
      <c r="U40" s="324" t="str">
        <f t="shared" si="10"/>
        <v/>
      </c>
      <c r="V40" s="324" t="str">
        <f t="shared" si="10"/>
        <v/>
      </c>
      <c r="W40" s="324" t="str">
        <f t="shared" si="10"/>
        <v/>
      </c>
      <c r="X40" s="324" t="str">
        <f t="shared" si="10"/>
        <v/>
      </c>
      <c r="Y40" s="324" t="str">
        <f t="shared" si="10"/>
        <v/>
      </c>
      <c r="Z40" s="324" t="str">
        <f t="shared" si="10"/>
        <v/>
      </c>
      <c r="AA40" s="324" t="str">
        <f t="shared" si="10"/>
        <v/>
      </c>
      <c r="AB40" s="324" t="str">
        <f t="shared" si="11"/>
        <v/>
      </c>
      <c r="AC40" s="324" t="str">
        <f t="shared" si="11"/>
        <v/>
      </c>
      <c r="AD40" s="324" t="str">
        <f t="shared" si="11"/>
        <v/>
      </c>
      <c r="AE40" s="324" t="str">
        <f t="shared" si="11"/>
        <v/>
      </c>
      <c r="AF40" s="324" t="str">
        <f t="shared" si="11"/>
        <v/>
      </c>
      <c r="AG40" s="324" t="str">
        <f t="shared" si="11"/>
        <v/>
      </c>
      <c r="AH40" s="324" t="str">
        <f t="shared" si="11"/>
        <v/>
      </c>
      <c r="AI40" s="324" t="str">
        <f t="shared" si="11"/>
        <v/>
      </c>
      <c r="AJ40" s="324" t="str">
        <f t="shared" si="11"/>
        <v/>
      </c>
      <c r="AK40" s="324" t="str">
        <f t="shared" si="11"/>
        <v/>
      </c>
      <c r="AL40" s="324" t="str">
        <f t="shared" si="11"/>
        <v/>
      </c>
      <c r="AM40" s="325" t="str">
        <f t="shared" si="11"/>
        <v/>
      </c>
    </row>
    <row r="41" spans="1:39" s="326" customFormat="1" ht="11.25" customHeight="1">
      <c r="A41" s="320">
        <v>38</v>
      </c>
      <c r="B41" s="321" t="s">
        <v>349</v>
      </c>
      <c r="C41" s="322">
        <v>24</v>
      </c>
      <c r="D41" s="322">
        <v>6</v>
      </c>
      <c r="E41" s="322">
        <v>24</v>
      </c>
      <c r="F41" s="322">
        <v>5</v>
      </c>
      <c r="G41" s="323">
        <v>0</v>
      </c>
      <c r="H41" s="324" t="str">
        <f t="shared" si="9"/>
        <v/>
      </c>
      <c r="I41" s="324" t="str">
        <f t="shared" si="9"/>
        <v/>
      </c>
      <c r="J41" s="324" t="str">
        <f t="shared" si="9"/>
        <v/>
      </c>
      <c r="K41" s="324" t="str">
        <f t="shared" si="9"/>
        <v/>
      </c>
      <c r="L41" s="324" t="str">
        <f t="shared" si="9"/>
        <v/>
      </c>
      <c r="M41" s="324" t="str">
        <f t="shared" si="9"/>
        <v/>
      </c>
      <c r="N41" s="324" t="str">
        <f t="shared" si="9"/>
        <v/>
      </c>
      <c r="O41" s="324" t="str">
        <f t="shared" si="9"/>
        <v/>
      </c>
      <c r="P41" s="324" t="str">
        <f t="shared" si="9"/>
        <v/>
      </c>
      <c r="Q41" s="324" t="str">
        <f t="shared" si="9"/>
        <v/>
      </c>
      <c r="R41" s="324" t="str">
        <f t="shared" si="10"/>
        <v/>
      </c>
      <c r="S41" s="324" t="str">
        <f t="shared" si="10"/>
        <v/>
      </c>
      <c r="T41" s="324" t="str">
        <f t="shared" si="10"/>
        <v/>
      </c>
      <c r="U41" s="324" t="str">
        <f t="shared" si="10"/>
        <v/>
      </c>
      <c r="V41" s="324" t="str">
        <f t="shared" si="10"/>
        <v/>
      </c>
      <c r="W41" s="324" t="str">
        <f t="shared" si="10"/>
        <v/>
      </c>
      <c r="X41" s="324" t="str">
        <f t="shared" si="10"/>
        <v/>
      </c>
      <c r="Y41" s="324" t="str">
        <f t="shared" si="10"/>
        <v/>
      </c>
      <c r="Z41" s="324" t="str">
        <f t="shared" si="10"/>
        <v/>
      </c>
      <c r="AA41" s="324" t="str">
        <f t="shared" si="10"/>
        <v/>
      </c>
      <c r="AB41" s="324" t="str">
        <f t="shared" si="11"/>
        <v/>
      </c>
      <c r="AC41" s="324" t="str">
        <f t="shared" si="11"/>
        <v/>
      </c>
      <c r="AD41" s="324" t="str">
        <f t="shared" si="11"/>
        <v/>
      </c>
      <c r="AE41" s="324" t="str">
        <f t="shared" si="11"/>
        <v/>
      </c>
      <c r="AF41" s="324" t="str">
        <f t="shared" si="11"/>
        <v/>
      </c>
      <c r="AG41" s="324" t="str">
        <f t="shared" si="11"/>
        <v/>
      </c>
      <c r="AH41" s="324" t="str">
        <f t="shared" si="11"/>
        <v/>
      </c>
      <c r="AI41" s="324" t="str">
        <f t="shared" si="11"/>
        <v/>
      </c>
      <c r="AJ41" s="324" t="str">
        <f t="shared" si="11"/>
        <v/>
      </c>
      <c r="AK41" s="324" t="str">
        <f t="shared" si="11"/>
        <v/>
      </c>
      <c r="AL41" s="324" t="str">
        <f t="shared" si="11"/>
        <v/>
      </c>
      <c r="AM41" s="325" t="str">
        <f t="shared" si="11"/>
        <v/>
      </c>
    </row>
    <row r="42" spans="1:39" s="326" customFormat="1" ht="11.25" customHeight="1">
      <c r="A42" s="320">
        <v>39</v>
      </c>
      <c r="B42" s="321" t="s">
        <v>350</v>
      </c>
      <c r="C42" s="322">
        <v>24</v>
      </c>
      <c r="D42" s="322">
        <v>7</v>
      </c>
      <c r="E42" s="322">
        <v>24</v>
      </c>
      <c r="F42" s="322">
        <v>8</v>
      </c>
      <c r="G42" s="323">
        <v>0</v>
      </c>
      <c r="H42" s="324" t="str">
        <f t="shared" si="9"/>
        <v/>
      </c>
      <c r="I42" s="324" t="str">
        <f t="shared" si="9"/>
        <v/>
      </c>
      <c r="J42" s="324" t="str">
        <f t="shared" si="9"/>
        <v/>
      </c>
      <c r="K42" s="324" t="str">
        <f t="shared" si="9"/>
        <v/>
      </c>
      <c r="L42" s="324" t="str">
        <f t="shared" si="9"/>
        <v/>
      </c>
      <c r="M42" s="324" t="str">
        <f t="shared" si="9"/>
        <v/>
      </c>
      <c r="N42" s="324" t="str">
        <f t="shared" si="9"/>
        <v/>
      </c>
      <c r="O42" s="324" t="str">
        <f t="shared" si="9"/>
        <v/>
      </c>
      <c r="P42" s="324" t="str">
        <f t="shared" si="9"/>
        <v/>
      </c>
      <c r="Q42" s="324" t="str">
        <f t="shared" si="9"/>
        <v/>
      </c>
      <c r="R42" s="324" t="str">
        <f t="shared" si="10"/>
        <v/>
      </c>
      <c r="S42" s="324" t="str">
        <f t="shared" si="10"/>
        <v/>
      </c>
      <c r="T42" s="324" t="str">
        <f t="shared" si="10"/>
        <v/>
      </c>
      <c r="U42" s="324" t="str">
        <f t="shared" si="10"/>
        <v/>
      </c>
      <c r="V42" s="324" t="str">
        <f t="shared" si="10"/>
        <v/>
      </c>
      <c r="W42" s="324" t="str">
        <f t="shared" si="10"/>
        <v/>
      </c>
      <c r="X42" s="324" t="str">
        <f t="shared" si="10"/>
        <v/>
      </c>
      <c r="Y42" s="324" t="str">
        <f t="shared" si="10"/>
        <v/>
      </c>
      <c r="Z42" s="324" t="str">
        <f t="shared" si="10"/>
        <v/>
      </c>
      <c r="AA42" s="324" t="str">
        <f t="shared" si="10"/>
        <v/>
      </c>
      <c r="AB42" s="324" t="str">
        <f t="shared" si="11"/>
        <v/>
      </c>
      <c r="AC42" s="324" t="str">
        <f t="shared" si="11"/>
        <v/>
      </c>
      <c r="AD42" s="324" t="str">
        <f t="shared" si="11"/>
        <v/>
      </c>
      <c r="AE42" s="324" t="str">
        <f t="shared" si="11"/>
        <v/>
      </c>
      <c r="AF42" s="324" t="str">
        <f t="shared" si="11"/>
        <v/>
      </c>
      <c r="AG42" s="324" t="str">
        <f t="shared" si="11"/>
        <v/>
      </c>
      <c r="AH42" s="324" t="str">
        <f t="shared" si="11"/>
        <v/>
      </c>
      <c r="AI42" s="324" t="str">
        <f t="shared" si="11"/>
        <v/>
      </c>
      <c r="AJ42" s="324" t="str">
        <f t="shared" si="11"/>
        <v/>
      </c>
      <c r="AK42" s="324" t="str">
        <f t="shared" si="11"/>
        <v/>
      </c>
      <c r="AL42" s="324" t="str">
        <f t="shared" si="11"/>
        <v/>
      </c>
      <c r="AM42" s="325" t="str">
        <f t="shared" si="11"/>
        <v/>
      </c>
    </row>
    <row r="43" spans="1:39" s="326" customFormat="1" ht="11.25" customHeight="1">
      <c r="A43" s="327">
        <v>40</v>
      </c>
      <c r="B43" s="328" t="s">
        <v>351</v>
      </c>
      <c r="C43" s="329">
        <v>24</v>
      </c>
      <c r="D43" s="329">
        <v>3</v>
      </c>
      <c r="E43" s="329">
        <v>24</v>
      </c>
      <c r="F43" s="329">
        <v>2</v>
      </c>
      <c r="G43" s="330">
        <v>0</v>
      </c>
      <c r="H43" s="331" t="str">
        <f t="shared" si="9"/>
        <v/>
      </c>
      <c r="I43" s="331" t="str">
        <f t="shared" si="9"/>
        <v/>
      </c>
      <c r="J43" s="331" t="str">
        <f t="shared" si="9"/>
        <v/>
      </c>
      <c r="K43" s="331" t="str">
        <f t="shared" si="9"/>
        <v/>
      </c>
      <c r="L43" s="331" t="str">
        <f t="shared" si="9"/>
        <v/>
      </c>
      <c r="M43" s="331" t="str">
        <f t="shared" si="9"/>
        <v/>
      </c>
      <c r="N43" s="331" t="str">
        <f t="shared" si="9"/>
        <v/>
      </c>
      <c r="O43" s="331" t="str">
        <f t="shared" si="9"/>
        <v/>
      </c>
      <c r="P43" s="331" t="str">
        <f t="shared" si="9"/>
        <v/>
      </c>
      <c r="Q43" s="331" t="str">
        <f t="shared" si="9"/>
        <v/>
      </c>
      <c r="R43" s="331" t="str">
        <f t="shared" si="10"/>
        <v/>
      </c>
      <c r="S43" s="331" t="str">
        <f t="shared" si="10"/>
        <v/>
      </c>
      <c r="T43" s="331" t="str">
        <f t="shared" si="10"/>
        <v/>
      </c>
      <c r="U43" s="331" t="str">
        <f t="shared" si="10"/>
        <v/>
      </c>
      <c r="V43" s="331" t="str">
        <f t="shared" si="10"/>
        <v/>
      </c>
      <c r="W43" s="331" t="str">
        <f t="shared" si="10"/>
        <v/>
      </c>
      <c r="X43" s="331" t="str">
        <f t="shared" si="10"/>
        <v/>
      </c>
      <c r="Y43" s="331" t="str">
        <f t="shared" si="10"/>
        <v/>
      </c>
      <c r="Z43" s="331" t="str">
        <f t="shared" si="10"/>
        <v/>
      </c>
      <c r="AA43" s="331" t="str">
        <f t="shared" si="10"/>
        <v/>
      </c>
      <c r="AB43" s="331" t="str">
        <f t="shared" si="11"/>
        <v/>
      </c>
      <c r="AC43" s="331" t="str">
        <f t="shared" si="11"/>
        <v/>
      </c>
      <c r="AD43" s="331" t="str">
        <f t="shared" si="11"/>
        <v/>
      </c>
      <c r="AE43" s="331" t="str">
        <f t="shared" si="11"/>
        <v/>
      </c>
      <c r="AF43" s="331" t="str">
        <f t="shared" si="11"/>
        <v/>
      </c>
      <c r="AG43" s="331" t="str">
        <f t="shared" si="11"/>
        <v/>
      </c>
      <c r="AH43" s="331" t="str">
        <f t="shared" si="11"/>
        <v/>
      </c>
      <c r="AI43" s="331" t="str">
        <f t="shared" si="11"/>
        <v/>
      </c>
      <c r="AJ43" s="331" t="str">
        <f t="shared" si="11"/>
        <v/>
      </c>
      <c r="AK43" s="331" t="str">
        <f t="shared" si="11"/>
        <v/>
      </c>
      <c r="AL43" s="331" t="str">
        <f t="shared" si="11"/>
        <v/>
      </c>
      <c r="AM43" s="332" t="str">
        <f t="shared" si="11"/>
        <v/>
      </c>
    </row>
    <row r="44" spans="1:39">
      <c r="A44" s="333"/>
      <c r="B44" s="334"/>
      <c r="C44" s="333"/>
      <c r="D44" s="333"/>
      <c r="E44" s="333"/>
      <c r="F44" s="333"/>
      <c r="G44" s="333"/>
      <c r="H44" s="333"/>
      <c r="I44" s="333"/>
      <c r="J44" s="333"/>
      <c r="K44" s="333"/>
      <c r="L44" s="333"/>
      <c r="M44" s="333"/>
      <c r="N44" s="333"/>
      <c r="O44" s="333"/>
      <c r="P44" s="333"/>
      <c r="Q44" s="333"/>
      <c r="R44" s="333"/>
      <c r="S44" s="333"/>
      <c r="T44" s="333"/>
      <c r="U44" s="333"/>
      <c r="V44" s="333"/>
      <c r="W44" s="333"/>
      <c r="X44" s="333"/>
      <c r="Y44" s="333"/>
      <c r="Z44" s="333"/>
      <c r="AA44" s="333"/>
      <c r="AB44" s="333"/>
      <c r="AC44" s="333"/>
      <c r="AD44" s="333"/>
      <c r="AE44" s="333"/>
      <c r="AF44" s="333"/>
      <c r="AG44" s="333"/>
      <c r="AH44" s="333"/>
      <c r="AI44" s="333"/>
      <c r="AJ44" s="333"/>
      <c r="AK44" s="333"/>
      <c r="AL44" s="333"/>
      <c r="AM44" s="333"/>
    </row>
    <row r="45" spans="1:39" s="342" customFormat="1" ht="15">
      <c r="A45" s="336"/>
      <c r="B45" s="337"/>
      <c r="C45" s="338"/>
      <c r="D45" s="339"/>
      <c r="E45" s="340"/>
      <c r="F45" s="340"/>
      <c r="G45" s="340"/>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c r="AK45" s="341"/>
      <c r="AL45" s="341"/>
      <c r="AM45" s="341"/>
    </row>
  </sheetData>
  <mergeCells count="8">
    <mergeCell ref="AC1:AK1"/>
    <mergeCell ref="AL1:AM1"/>
    <mergeCell ref="C1:D1"/>
    <mergeCell ref="E1:F1"/>
    <mergeCell ref="H1:M1"/>
    <mergeCell ref="N1:R1"/>
    <mergeCell ref="T1:X1"/>
    <mergeCell ref="Y1:AA1"/>
  </mergeCells>
  <conditionalFormatting sqref="A4:G43">
    <cfRule type="expression" dxfId="4" priority="2" stopIfTrue="1">
      <formula>MOD($A4,2)=0</formula>
    </cfRule>
  </conditionalFormatting>
  <conditionalFormatting sqref="H3:AM3">
    <cfRule type="expression" dxfId="3" priority="1" stopIfTrue="1">
      <formula>H$3=$AL$1</formula>
    </cfRule>
  </conditionalFormatting>
  <conditionalFormatting sqref="H4:AM43">
    <cfRule type="expression" dxfId="2" priority="3" stopIfTrue="1">
      <formula>IF($N$1=INDEX(ganttTypes,1),AND(H$3&gt;=$C4,H$3&lt;$C4+$D4,H$3=$AL$1),AND(H$3&gt;=$E4,H$3&lt;$E4+$F4,H$3=$AL$1))</formula>
    </cfRule>
    <cfRule type="expression" dxfId="1" priority="4" stopIfTrue="1">
      <formula>IF($N$1=INDEX(ganttTypes,1),AND(H$3&gt;=$C4,H$3&lt;$C4+$D4),AND(H$3&gt;=$E4,H$3&lt;$E4+$F4))</formula>
    </cfRule>
    <cfRule type="expression" dxfId="0" priority="5" stopIfTrue="1">
      <formula>H$3=$AL$1</formula>
    </cfRule>
  </conditionalFormatting>
  <dataValidations count="2">
    <dataValidation type="list" allowBlank="1" showInputMessage="1" showErrorMessage="1" sqref="Y1:AA2 JU1:JW2 TQ1:TS2 ADM1:ADO2 ANI1:ANK2 AXE1:AXG2 BHA1:BHC2 BQW1:BQY2 CAS1:CAU2 CKO1:CKQ2 CUK1:CUM2 DEG1:DEI2 DOC1:DOE2 DXY1:DYA2 EHU1:EHW2 ERQ1:ERS2 FBM1:FBO2 FLI1:FLK2 FVE1:FVG2 GFA1:GFC2 GOW1:GOY2 GYS1:GYU2 HIO1:HIQ2 HSK1:HSM2 ICG1:ICI2 IMC1:IME2 IVY1:IWA2 JFU1:JFW2 JPQ1:JPS2 JZM1:JZO2 KJI1:KJK2 KTE1:KTG2 LDA1:LDC2 LMW1:LMY2 LWS1:LWU2 MGO1:MGQ2 MQK1:MQM2 NAG1:NAI2 NKC1:NKE2 NTY1:NUA2 ODU1:ODW2 ONQ1:ONS2 OXM1:OXO2 PHI1:PHK2 PRE1:PRG2 QBA1:QBC2 QKW1:QKY2 QUS1:QUU2 REO1:REQ2 ROK1:ROM2 RYG1:RYI2 SIC1:SIE2 SRY1:SSA2 TBU1:TBW2 TLQ1:TLS2 TVM1:TVO2 UFI1:UFK2 UPE1:UPG2 UZA1:UZC2 VIW1:VIY2 VSS1:VSU2 WCO1:WCQ2 WMK1:WMM2 WWG1:WWI2 Y65537:AA65538 JU65537:JW65538 TQ65537:TS65538 ADM65537:ADO65538 ANI65537:ANK65538 AXE65537:AXG65538 BHA65537:BHC65538 BQW65537:BQY65538 CAS65537:CAU65538 CKO65537:CKQ65538 CUK65537:CUM65538 DEG65537:DEI65538 DOC65537:DOE65538 DXY65537:DYA65538 EHU65537:EHW65538 ERQ65537:ERS65538 FBM65537:FBO65538 FLI65537:FLK65538 FVE65537:FVG65538 GFA65537:GFC65538 GOW65537:GOY65538 GYS65537:GYU65538 HIO65537:HIQ65538 HSK65537:HSM65538 ICG65537:ICI65538 IMC65537:IME65538 IVY65537:IWA65538 JFU65537:JFW65538 JPQ65537:JPS65538 JZM65537:JZO65538 KJI65537:KJK65538 KTE65537:KTG65538 LDA65537:LDC65538 LMW65537:LMY65538 LWS65537:LWU65538 MGO65537:MGQ65538 MQK65537:MQM65538 NAG65537:NAI65538 NKC65537:NKE65538 NTY65537:NUA65538 ODU65537:ODW65538 ONQ65537:ONS65538 OXM65537:OXO65538 PHI65537:PHK65538 PRE65537:PRG65538 QBA65537:QBC65538 QKW65537:QKY65538 QUS65537:QUU65538 REO65537:REQ65538 ROK65537:ROM65538 RYG65537:RYI65538 SIC65537:SIE65538 SRY65537:SSA65538 TBU65537:TBW65538 TLQ65537:TLS65538 TVM65537:TVO65538 UFI65537:UFK65538 UPE65537:UPG65538 UZA65537:UZC65538 VIW65537:VIY65538 VSS65537:VSU65538 WCO65537:WCQ65538 WMK65537:WMM65538 WWG65537:WWI65538 Y131073:AA131074 JU131073:JW131074 TQ131073:TS131074 ADM131073:ADO131074 ANI131073:ANK131074 AXE131073:AXG131074 BHA131073:BHC131074 BQW131073:BQY131074 CAS131073:CAU131074 CKO131073:CKQ131074 CUK131073:CUM131074 DEG131073:DEI131074 DOC131073:DOE131074 DXY131073:DYA131074 EHU131073:EHW131074 ERQ131073:ERS131074 FBM131073:FBO131074 FLI131073:FLK131074 FVE131073:FVG131074 GFA131073:GFC131074 GOW131073:GOY131074 GYS131073:GYU131074 HIO131073:HIQ131074 HSK131073:HSM131074 ICG131073:ICI131074 IMC131073:IME131074 IVY131073:IWA131074 JFU131073:JFW131074 JPQ131073:JPS131074 JZM131073:JZO131074 KJI131073:KJK131074 KTE131073:KTG131074 LDA131073:LDC131074 LMW131073:LMY131074 LWS131073:LWU131074 MGO131073:MGQ131074 MQK131073:MQM131074 NAG131073:NAI131074 NKC131073:NKE131074 NTY131073:NUA131074 ODU131073:ODW131074 ONQ131073:ONS131074 OXM131073:OXO131074 PHI131073:PHK131074 PRE131073:PRG131074 QBA131073:QBC131074 QKW131073:QKY131074 QUS131073:QUU131074 REO131073:REQ131074 ROK131073:ROM131074 RYG131073:RYI131074 SIC131073:SIE131074 SRY131073:SSA131074 TBU131073:TBW131074 TLQ131073:TLS131074 TVM131073:TVO131074 UFI131073:UFK131074 UPE131073:UPG131074 UZA131073:UZC131074 VIW131073:VIY131074 VSS131073:VSU131074 WCO131073:WCQ131074 WMK131073:WMM131074 WWG131073:WWI131074 Y196609:AA196610 JU196609:JW196610 TQ196609:TS196610 ADM196609:ADO196610 ANI196609:ANK196610 AXE196609:AXG196610 BHA196609:BHC196610 BQW196609:BQY196610 CAS196609:CAU196610 CKO196609:CKQ196610 CUK196609:CUM196610 DEG196609:DEI196610 DOC196609:DOE196610 DXY196609:DYA196610 EHU196609:EHW196610 ERQ196609:ERS196610 FBM196609:FBO196610 FLI196609:FLK196610 FVE196609:FVG196610 GFA196609:GFC196610 GOW196609:GOY196610 GYS196609:GYU196610 HIO196609:HIQ196610 HSK196609:HSM196610 ICG196609:ICI196610 IMC196609:IME196610 IVY196609:IWA196610 JFU196609:JFW196610 JPQ196609:JPS196610 JZM196609:JZO196610 KJI196609:KJK196610 KTE196609:KTG196610 LDA196609:LDC196610 LMW196609:LMY196610 LWS196609:LWU196610 MGO196609:MGQ196610 MQK196609:MQM196610 NAG196609:NAI196610 NKC196609:NKE196610 NTY196609:NUA196610 ODU196609:ODW196610 ONQ196609:ONS196610 OXM196609:OXO196610 PHI196609:PHK196610 PRE196609:PRG196610 QBA196609:QBC196610 QKW196609:QKY196610 QUS196609:QUU196610 REO196609:REQ196610 ROK196609:ROM196610 RYG196609:RYI196610 SIC196609:SIE196610 SRY196609:SSA196610 TBU196609:TBW196610 TLQ196609:TLS196610 TVM196609:TVO196610 UFI196609:UFK196610 UPE196609:UPG196610 UZA196609:UZC196610 VIW196609:VIY196610 VSS196609:VSU196610 WCO196609:WCQ196610 WMK196609:WMM196610 WWG196609:WWI196610 Y262145:AA262146 JU262145:JW262146 TQ262145:TS262146 ADM262145:ADO262146 ANI262145:ANK262146 AXE262145:AXG262146 BHA262145:BHC262146 BQW262145:BQY262146 CAS262145:CAU262146 CKO262145:CKQ262146 CUK262145:CUM262146 DEG262145:DEI262146 DOC262145:DOE262146 DXY262145:DYA262146 EHU262145:EHW262146 ERQ262145:ERS262146 FBM262145:FBO262146 FLI262145:FLK262146 FVE262145:FVG262146 GFA262145:GFC262146 GOW262145:GOY262146 GYS262145:GYU262146 HIO262145:HIQ262146 HSK262145:HSM262146 ICG262145:ICI262146 IMC262145:IME262146 IVY262145:IWA262146 JFU262145:JFW262146 JPQ262145:JPS262146 JZM262145:JZO262146 KJI262145:KJK262146 KTE262145:KTG262146 LDA262145:LDC262146 LMW262145:LMY262146 LWS262145:LWU262146 MGO262145:MGQ262146 MQK262145:MQM262146 NAG262145:NAI262146 NKC262145:NKE262146 NTY262145:NUA262146 ODU262145:ODW262146 ONQ262145:ONS262146 OXM262145:OXO262146 PHI262145:PHK262146 PRE262145:PRG262146 QBA262145:QBC262146 QKW262145:QKY262146 QUS262145:QUU262146 REO262145:REQ262146 ROK262145:ROM262146 RYG262145:RYI262146 SIC262145:SIE262146 SRY262145:SSA262146 TBU262145:TBW262146 TLQ262145:TLS262146 TVM262145:TVO262146 UFI262145:UFK262146 UPE262145:UPG262146 UZA262145:UZC262146 VIW262145:VIY262146 VSS262145:VSU262146 WCO262145:WCQ262146 WMK262145:WMM262146 WWG262145:WWI262146 Y327681:AA327682 JU327681:JW327682 TQ327681:TS327682 ADM327681:ADO327682 ANI327681:ANK327682 AXE327681:AXG327682 BHA327681:BHC327682 BQW327681:BQY327682 CAS327681:CAU327682 CKO327681:CKQ327682 CUK327681:CUM327682 DEG327681:DEI327682 DOC327681:DOE327682 DXY327681:DYA327682 EHU327681:EHW327682 ERQ327681:ERS327682 FBM327681:FBO327682 FLI327681:FLK327682 FVE327681:FVG327682 GFA327681:GFC327682 GOW327681:GOY327682 GYS327681:GYU327682 HIO327681:HIQ327682 HSK327681:HSM327682 ICG327681:ICI327682 IMC327681:IME327682 IVY327681:IWA327682 JFU327681:JFW327682 JPQ327681:JPS327682 JZM327681:JZO327682 KJI327681:KJK327682 KTE327681:KTG327682 LDA327681:LDC327682 LMW327681:LMY327682 LWS327681:LWU327682 MGO327681:MGQ327682 MQK327681:MQM327682 NAG327681:NAI327682 NKC327681:NKE327682 NTY327681:NUA327682 ODU327681:ODW327682 ONQ327681:ONS327682 OXM327681:OXO327682 PHI327681:PHK327682 PRE327681:PRG327682 QBA327681:QBC327682 QKW327681:QKY327682 QUS327681:QUU327682 REO327681:REQ327682 ROK327681:ROM327682 RYG327681:RYI327682 SIC327681:SIE327682 SRY327681:SSA327682 TBU327681:TBW327682 TLQ327681:TLS327682 TVM327681:TVO327682 UFI327681:UFK327682 UPE327681:UPG327682 UZA327681:UZC327682 VIW327681:VIY327682 VSS327681:VSU327682 WCO327681:WCQ327682 WMK327681:WMM327682 WWG327681:WWI327682 Y393217:AA393218 JU393217:JW393218 TQ393217:TS393218 ADM393217:ADO393218 ANI393217:ANK393218 AXE393217:AXG393218 BHA393217:BHC393218 BQW393217:BQY393218 CAS393217:CAU393218 CKO393217:CKQ393218 CUK393217:CUM393218 DEG393217:DEI393218 DOC393217:DOE393218 DXY393217:DYA393218 EHU393217:EHW393218 ERQ393217:ERS393218 FBM393217:FBO393218 FLI393217:FLK393218 FVE393217:FVG393218 GFA393217:GFC393218 GOW393217:GOY393218 GYS393217:GYU393218 HIO393217:HIQ393218 HSK393217:HSM393218 ICG393217:ICI393218 IMC393217:IME393218 IVY393217:IWA393218 JFU393217:JFW393218 JPQ393217:JPS393218 JZM393217:JZO393218 KJI393217:KJK393218 KTE393217:KTG393218 LDA393217:LDC393218 LMW393217:LMY393218 LWS393217:LWU393218 MGO393217:MGQ393218 MQK393217:MQM393218 NAG393217:NAI393218 NKC393217:NKE393218 NTY393217:NUA393218 ODU393217:ODW393218 ONQ393217:ONS393218 OXM393217:OXO393218 PHI393217:PHK393218 PRE393217:PRG393218 QBA393217:QBC393218 QKW393217:QKY393218 QUS393217:QUU393218 REO393217:REQ393218 ROK393217:ROM393218 RYG393217:RYI393218 SIC393217:SIE393218 SRY393217:SSA393218 TBU393217:TBW393218 TLQ393217:TLS393218 TVM393217:TVO393218 UFI393217:UFK393218 UPE393217:UPG393218 UZA393217:UZC393218 VIW393217:VIY393218 VSS393217:VSU393218 WCO393217:WCQ393218 WMK393217:WMM393218 WWG393217:WWI393218 Y458753:AA458754 JU458753:JW458754 TQ458753:TS458754 ADM458753:ADO458754 ANI458753:ANK458754 AXE458753:AXG458754 BHA458753:BHC458754 BQW458753:BQY458754 CAS458753:CAU458754 CKO458753:CKQ458754 CUK458753:CUM458754 DEG458753:DEI458754 DOC458753:DOE458754 DXY458753:DYA458754 EHU458753:EHW458754 ERQ458753:ERS458754 FBM458753:FBO458754 FLI458753:FLK458754 FVE458753:FVG458754 GFA458753:GFC458754 GOW458753:GOY458754 GYS458753:GYU458754 HIO458753:HIQ458754 HSK458753:HSM458754 ICG458753:ICI458754 IMC458753:IME458754 IVY458753:IWA458754 JFU458753:JFW458754 JPQ458753:JPS458754 JZM458753:JZO458754 KJI458753:KJK458754 KTE458753:KTG458754 LDA458753:LDC458754 LMW458753:LMY458754 LWS458753:LWU458754 MGO458753:MGQ458754 MQK458753:MQM458754 NAG458753:NAI458754 NKC458753:NKE458754 NTY458753:NUA458754 ODU458753:ODW458754 ONQ458753:ONS458754 OXM458753:OXO458754 PHI458753:PHK458754 PRE458753:PRG458754 QBA458753:QBC458754 QKW458753:QKY458754 QUS458753:QUU458754 REO458753:REQ458754 ROK458753:ROM458754 RYG458753:RYI458754 SIC458753:SIE458754 SRY458753:SSA458754 TBU458753:TBW458754 TLQ458753:TLS458754 TVM458753:TVO458754 UFI458753:UFK458754 UPE458753:UPG458754 UZA458753:UZC458754 VIW458753:VIY458754 VSS458753:VSU458754 WCO458753:WCQ458754 WMK458753:WMM458754 WWG458753:WWI458754 Y524289:AA524290 JU524289:JW524290 TQ524289:TS524290 ADM524289:ADO524290 ANI524289:ANK524290 AXE524289:AXG524290 BHA524289:BHC524290 BQW524289:BQY524290 CAS524289:CAU524290 CKO524289:CKQ524290 CUK524289:CUM524290 DEG524289:DEI524290 DOC524289:DOE524290 DXY524289:DYA524290 EHU524289:EHW524290 ERQ524289:ERS524290 FBM524289:FBO524290 FLI524289:FLK524290 FVE524289:FVG524290 GFA524289:GFC524290 GOW524289:GOY524290 GYS524289:GYU524290 HIO524289:HIQ524290 HSK524289:HSM524290 ICG524289:ICI524290 IMC524289:IME524290 IVY524289:IWA524290 JFU524289:JFW524290 JPQ524289:JPS524290 JZM524289:JZO524290 KJI524289:KJK524290 KTE524289:KTG524290 LDA524289:LDC524290 LMW524289:LMY524290 LWS524289:LWU524290 MGO524289:MGQ524290 MQK524289:MQM524290 NAG524289:NAI524290 NKC524289:NKE524290 NTY524289:NUA524290 ODU524289:ODW524290 ONQ524289:ONS524290 OXM524289:OXO524290 PHI524289:PHK524290 PRE524289:PRG524290 QBA524289:QBC524290 QKW524289:QKY524290 QUS524289:QUU524290 REO524289:REQ524290 ROK524289:ROM524290 RYG524289:RYI524290 SIC524289:SIE524290 SRY524289:SSA524290 TBU524289:TBW524290 TLQ524289:TLS524290 TVM524289:TVO524290 UFI524289:UFK524290 UPE524289:UPG524290 UZA524289:UZC524290 VIW524289:VIY524290 VSS524289:VSU524290 WCO524289:WCQ524290 WMK524289:WMM524290 WWG524289:WWI524290 Y589825:AA589826 JU589825:JW589826 TQ589825:TS589826 ADM589825:ADO589826 ANI589825:ANK589826 AXE589825:AXG589826 BHA589825:BHC589826 BQW589825:BQY589826 CAS589825:CAU589826 CKO589825:CKQ589826 CUK589825:CUM589826 DEG589825:DEI589826 DOC589825:DOE589826 DXY589825:DYA589826 EHU589825:EHW589826 ERQ589825:ERS589826 FBM589825:FBO589826 FLI589825:FLK589826 FVE589825:FVG589826 GFA589825:GFC589826 GOW589825:GOY589826 GYS589825:GYU589826 HIO589825:HIQ589826 HSK589825:HSM589826 ICG589825:ICI589826 IMC589825:IME589826 IVY589825:IWA589826 JFU589825:JFW589826 JPQ589825:JPS589826 JZM589825:JZO589826 KJI589825:KJK589826 KTE589825:KTG589826 LDA589825:LDC589826 LMW589825:LMY589826 LWS589825:LWU589826 MGO589825:MGQ589826 MQK589825:MQM589826 NAG589825:NAI589826 NKC589825:NKE589826 NTY589825:NUA589826 ODU589825:ODW589826 ONQ589825:ONS589826 OXM589825:OXO589826 PHI589825:PHK589826 PRE589825:PRG589826 QBA589825:QBC589826 QKW589825:QKY589826 QUS589825:QUU589826 REO589825:REQ589826 ROK589825:ROM589826 RYG589825:RYI589826 SIC589825:SIE589826 SRY589825:SSA589826 TBU589825:TBW589826 TLQ589825:TLS589826 TVM589825:TVO589826 UFI589825:UFK589826 UPE589825:UPG589826 UZA589825:UZC589826 VIW589825:VIY589826 VSS589825:VSU589826 WCO589825:WCQ589826 WMK589825:WMM589826 WWG589825:WWI589826 Y655361:AA655362 JU655361:JW655362 TQ655361:TS655362 ADM655361:ADO655362 ANI655361:ANK655362 AXE655361:AXG655362 BHA655361:BHC655362 BQW655361:BQY655362 CAS655361:CAU655362 CKO655361:CKQ655362 CUK655361:CUM655362 DEG655361:DEI655362 DOC655361:DOE655362 DXY655361:DYA655362 EHU655361:EHW655362 ERQ655361:ERS655362 FBM655361:FBO655362 FLI655361:FLK655362 FVE655361:FVG655362 GFA655361:GFC655362 GOW655361:GOY655362 GYS655361:GYU655362 HIO655361:HIQ655362 HSK655361:HSM655362 ICG655361:ICI655362 IMC655361:IME655362 IVY655361:IWA655362 JFU655361:JFW655362 JPQ655361:JPS655362 JZM655361:JZO655362 KJI655361:KJK655362 KTE655361:KTG655362 LDA655361:LDC655362 LMW655361:LMY655362 LWS655361:LWU655362 MGO655361:MGQ655362 MQK655361:MQM655362 NAG655361:NAI655362 NKC655361:NKE655362 NTY655361:NUA655362 ODU655361:ODW655362 ONQ655361:ONS655362 OXM655361:OXO655362 PHI655361:PHK655362 PRE655361:PRG655362 QBA655361:QBC655362 QKW655361:QKY655362 QUS655361:QUU655362 REO655361:REQ655362 ROK655361:ROM655362 RYG655361:RYI655362 SIC655361:SIE655362 SRY655361:SSA655362 TBU655361:TBW655362 TLQ655361:TLS655362 TVM655361:TVO655362 UFI655361:UFK655362 UPE655361:UPG655362 UZA655361:UZC655362 VIW655361:VIY655362 VSS655361:VSU655362 WCO655361:WCQ655362 WMK655361:WMM655362 WWG655361:WWI655362 Y720897:AA720898 JU720897:JW720898 TQ720897:TS720898 ADM720897:ADO720898 ANI720897:ANK720898 AXE720897:AXG720898 BHA720897:BHC720898 BQW720897:BQY720898 CAS720897:CAU720898 CKO720897:CKQ720898 CUK720897:CUM720898 DEG720897:DEI720898 DOC720897:DOE720898 DXY720897:DYA720898 EHU720897:EHW720898 ERQ720897:ERS720898 FBM720897:FBO720898 FLI720897:FLK720898 FVE720897:FVG720898 GFA720897:GFC720898 GOW720897:GOY720898 GYS720897:GYU720898 HIO720897:HIQ720898 HSK720897:HSM720898 ICG720897:ICI720898 IMC720897:IME720898 IVY720897:IWA720898 JFU720897:JFW720898 JPQ720897:JPS720898 JZM720897:JZO720898 KJI720897:KJK720898 KTE720897:KTG720898 LDA720897:LDC720898 LMW720897:LMY720898 LWS720897:LWU720898 MGO720897:MGQ720898 MQK720897:MQM720898 NAG720897:NAI720898 NKC720897:NKE720898 NTY720897:NUA720898 ODU720897:ODW720898 ONQ720897:ONS720898 OXM720897:OXO720898 PHI720897:PHK720898 PRE720897:PRG720898 QBA720897:QBC720898 QKW720897:QKY720898 QUS720897:QUU720898 REO720897:REQ720898 ROK720897:ROM720898 RYG720897:RYI720898 SIC720897:SIE720898 SRY720897:SSA720898 TBU720897:TBW720898 TLQ720897:TLS720898 TVM720897:TVO720898 UFI720897:UFK720898 UPE720897:UPG720898 UZA720897:UZC720898 VIW720897:VIY720898 VSS720897:VSU720898 WCO720897:WCQ720898 WMK720897:WMM720898 WWG720897:WWI720898 Y786433:AA786434 JU786433:JW786434 TQ786433:TS786434 ADM786433:ADO786434 ANI786433:ANK786434 AXE786433:AXG786434 BHA786433:BHC786434 BQW786433:BQY786434 CAS786433:CAU786434 CKO786433:CKQ786434 CUK786433:CUM786434 DEG786433:DEI786434 DOC786433:DOE786434 DXY786433:DYA786434 EHU786433:EHW786434 ERQ786433:ERS786434 FBM786433:FBO786434 FLI786433:FLK786434 FVE786433:FVG786434 GFA786433:GFC786434 GOW786433:GOY786434 GYS786433:GYU786434 HIO786433:HIQ786434 HSK786433:HSM786434 ICG786433:ICI786434 IMC786433:IME786434 IVY786433:IWA786434 JFU786433:JFW786434 JPQ786433:JPS786434 JZM786433:JZO786434 KJI786433:KJK786434 KTE786433:KTG786434 LDA786433:LDC786434 LMW786433:LMY786434 LWS786433:LWU786434 MGO786433:MGQ786434 MQK786433:MQM786434 NAG786433:NAI786434 NKC786433:NKE786434 NTY786433:NUA786434 ODU786433:ODW786434 ONQ786433:ONS786434 OXM786433:OXO786434 PHI786433:PHK786434 PRE786433:PRG786434 QBA786433:QBC786434 QKW786433:QKY786434 QUS786433:QUU786434 REO786433:REQ786434 ROK786433:ROM786434 RYG786433:RYI786434 SIC786433:SIE786434 SRY786433:SSA786434 TBU786433:TBW786434 TLQ786433:TLS786434 TVM786433:TVO786434 UFI786433:UFK786434 UPE786433:UPG786434 UZA786433:UZC786434 VIW786433:VIY786434 VSS786433:VSU786434 WCO786433:WCQ786434 WMK786433:WMM786434 WWG786433:WWI786434 Y851969:AA851970 JU851969:JW851970 TQ851969:TS851970 ADM851969:ADO851970 ANI851969:ANK851970 AXE851969:AXG851970 BHA851969:BHC851970 BQW851969:BQY851970 CAS851969:CAU851970 CKO851969:CKQ851970 CUK851969:CUM851970 DEG851969:DEI851970 DOC851969:DOE851970 DXY851969:DYA851970 EHU851969:EHW851970 ERQ851969:ERS851970 FBM851969:FBO851970 FLI851969:FLK851970 FVE851969:FVG851970 GFA851969:GFC851970 GOW851969:GOY851970 GYS851969:GYU851970 HIO851969:HIQ851970 HSK851969:HSM851970 ICG851969:ICI851970 IMC851969:IME851970 IVY851969:IWA851970 JFU851969:JFW851970 JPQ851969:JPS851970 JZM851969:JZO851970 KJI851969:KJK851970 KTE851969:KTG851970 LDA851969:LDC851970 LMW851969:LMY851970 LWS851969:LWU851970 MGO851969:MGQ851970 MQK851969:MQM851970 NAG851969:NAI851970 NKC851969:NKE851970 NTY851969:NUA851970 ODU851969:ODW851970 ONQ851969:ONS851970 OXM851969:OXO851970 PHI851969:PHK851970 PRE851969:PRG851970 QBA851969:QBC851970 QKW851969:QKY851970 QUS851969:QUU851970 REO851969:REQ851970 ROK851969:ROM851970 RYG851969:RYI851970 SIC851969:SIE851970 SRY851969:SSA851970 TBU851969:TBW851970 TLQ851969:TLS851970 TVM851969:TVO851970 UFI851969:UFK851970 UPE851969:UPG851970 UZA851969:UZC851970 VIW851969:VIY851970 VSS851969:VSU851970 WCO851969:WCQ851970 WMK851969:WMM851970 WWG851969:WWI851970 Y917505:AA917506 JU917505:JW917506 TQ917505:TS917506 ADM917505:ADO917506 ANI917505:ANK917506 AXE917505:AXG917506 BHA917505:BHC917506 BQW917505:BQY917506 CAS917505:CAU917506 CKO917505:CKQ917506 CUK917505:CUM917506 DEG917505:DEI917506 DOC917505:DOE917506 DXY917505:DYA917506 EHU917505:EHW917506 ERQ917505:ERS917506 FBM917505:FBO917506 FLI917505:FLK917506 FVE917505:FVG917506 GFA917505:GFC917506 GOW917505:GOY917506 GYS917505:GYU917506 HIO917505:HIQ917506 HSK917505:HSM917506 ICG917505:ICI917506 IMC917505:IME917506 IVY917505:IWA917506 JFU917505:JFW917506 JPQ917505:JPS917506 JZM917505:JZO917506 KJI917505:KJK917506 KTE917505:KTG917506 LDA917505:LDC917506 LMW917505:LMY917506 LWS917505:LWU917506 MGO917505:MGQ917506 MQK917505:MQM917506 NAG917505:NAI917506 NKC917505:NKE917506 NTY917505:NUA917506 ODU917505:ODW917506 ONQ917505:ONS917506 OXM917505:OXO917506 PHI917505:PHK917506 PRE917505:PRG917506 QBA917505:QBC917506 QKW917505:QKY917506 QUS917505:QUU917506 REO917505:REQ917506 ROK917505:ROM917506 RYG917505:RYI917506 SIC917505:SIE917506 SRY917505:SSA917506 TBU917505:TBW917506 TLQ917505:TLS917506 TVM917505:TVO917506 UFI917505:UFK917506 UPE917505:UPG917506 UZA917505:UZC917506 VIW917505:VIY917506 VSS917505:VSU917506 WCO917505:WCQ917506 WMK917505:WMM917506 WWG917505:WWI917506 Y983041:AA983042 JU983041:JW983042 TQ983041:TS983042 ADM983041:ADO983042 ANI983041:ANK983042 AXE983041:AXG983042 BHA983041:BHC983042 BQW983041:BQY983042 CAS983041:CAU983042 CKO983041:CKQ983042 CUK983041:CUM983042 DEG983041:DEI983042 DOC983041:DOE983042 DXY983041:DYA983042 EHU983041:EHW983042 ERQ983041:ERS983042 FBM983041:FBO983042 FLI983041:FLK983042 FVE983041:FVG983042 GFA983041:GFC983042 GOW983041:GOY983042 GYS983041:GYU983042 HIO983041:HIQ983042 HSK983041:HSM983042 ICG983041:ICI983042 IMC983041:IME983042 IVY983041:IWA983042 JFU983041:JFW983042 JPQ983041:JPS983042 JZM983041:JZO983042 KJI983041:KJK983042 KTE983041:KTG983042 LDA983041:LDC983042 LMW983041:LMY983042 LWS983041:LWU983042 MGO983041:MGQ983042 MQK983041:MQM983042 NAG983041:NAI983042 NKC983041:NKE983042 NTY983041:NUA983042 ODU983041:ODW983042 ONQ983041:ONS983042 OXM983041:OXO983042 PHI983041:PHK983042 PRE983041:PRG983042 QBA983041:QBC983042 QKW983041:QKY983042 QUS983041:QUU983042 REO983041:REQ983042 ROK983041:ROM983042 RYG983041:RYI983042 SIC983041:SIE983042 SRY983041:SSA983042 TBU983041:TBW983042 TLQ983041:TLS983042 TVM983041:TVO983042 UFI983041:UFK983042 UPE983041:UPG983042 UZA983041:UZC983042 VIW983041:VIY983042 VSS983041:VSU983042 WCO983041:WCQ983042 WMK983041:WMM983042 WWG983041:WWI983042">
      <formula1>ganttSymbols</formula1>
    </dataValidation>
    <dataValidation type="list" allowBlank="1" showInputMessage="1" showErrorMessage="1" sqref="N1:R2 JJ1:JN2 TF1:TJ2 ADB1:ADF2 AMX1:ANB2 AWT1:AWX2 BGP1:BGT2 BQL1:BQP2 CAH1:CAL2 CKD1:CKH2 CTZ1:CUD2 DDV1:DDZ2 DNR1:DNV2 DXN1:DXR2 EHJ1:EHN2 ERF1:ERJ2 FBB1:FBF2 FKX1:FLB2 FUT1:FUX2 GEP1:GET2 GOL1:GOP2 GYH1:GYL2 HID1:HIH2 HRZ1:HSD2 IBV1:IBZ2 ILR1:ILV2 IVN1:IVR2 JFJ1:JFN2 JPF1:JPJ2 JZB1:JZF2 KIX1:KJB2 KST1:KSX2 LCP1:LCT2 LML1:LMP2 LWH1:LWL2 MGD1:MGH2 MPZ1:MQD2 MZV1:MZZ2 NJR1:NJV2 NTN1:NTR2 ODJ1:ODN2 ONF1:ONJ2 OXB1:OXF2 PGX1:PHB2 PQT1:PQX2 QAP1:QAT2 QKL1:QKP2 QUH1:QUL2 RED1:REH2 RNZ1:ROD2 RXV1:RXZ2 SHR1:SHV2 SRN1:SRR2 TBJ1:TBN2 TLF1:TLJ2 TVB1:TVF2 UEX1:UFB2 UOT1:UOX2 UYP1:UYT2 VIL1:VIP2 VSH1:VSL2 WCD1:WCH2 WLZ1:WMD2 WVV1:WVZ2 N65537:R65538 JJ65537:JN65538 TF65537:TJ65538 ADB65537:ADF65538 AMX65537:ANB65538 AWT65537:AWX65538 BGP65537:BGT65538 BQL65537:BQP65538 CAH65537:CAL65538 CKD65537:CKH65538 CTZ65537:CUD65538 DDV65537:DDZ65538 DNR65537:DNV65538 DXN65537:DXR65538 EHJ65537:EHN65538 ERF65537:ERJ65538 FBB65537:FBF65538 FKX65537:FLB65538 FUT65537:FUX65538 GEP65537:GET65538 GOL65537:GOP65538 GYH65537:GYL65538 HID65537:HIH65538 HRZ65537:HSD65538 IBV65537:IBZ65538 ILR65537:ILV65538 IVN65537:IVR65538 JFJ65537:JFN65538 JPF65537:JPJ65538 JZB65537:JZF65538 KIX65537:KJB65538 KST65537:KSX65538 LCP65537:LCT65538 LML65537:LMP65538 LWH65537:LWL65538 MGD65537:MGH65538 MPZ65537:MQD65538 MZV65537:MZZ65538 NJR65537:NJV65538 NTN65537:NTR65538 ODJ65537:ODN65538 ONF65537:ONJ65538 OXB65537:OXF65538 PGX65537:PHB65538 PQT65537:PQX65538 QAP65537:QAT65538 QKL65537:QKP65538 QUH65537:QUL65538 RED65537:REH65538 RNZ65537:ROD65538 RXV65537:RXZ65538 SHR65537:SHV65538 SRN65537:SRR65538 TBJ65537:TBN65538 TLF65537:TLJ65538 TVB65537:TVF65538 UEX65537:UFB65538 UOT65537:UOX65538 UYP65537:UYT65538 VIL65537:VIP65538 VSH65537:VSL65538 WCD65537:WCH65538 WLZ65537:WMD65538 WVV65537:WVZ65538 N131073:R131074 JJ131073:JN131074 TF131073:TJ131074 ADB131073:ADF131074 AMX131073:ANB131074 AWT131073:AWX131074 BGP131073:BGT131074 BQL131073:BQP131074 CAH131073:CAL131074 CKD131073:CKH131074 CTZ131073:CUD131074 DDV131073:DDZ131074 DNR131073:DNV131074 DXN131073:DXR131074 EHJ131073:EHN131074 ERF131073:ERJ131074 FBB131073:FBF131074 FKX131073:FLB131074 FUT131073:FUX131074 GEP131073:GET131074 GOL131073:GOP131074 GYH131073:GYL131074 HID131073:HIH131074 HRZ131073:HSD131074 IBV131073:IBZ131074 ILR131073:ILV131074 IVN131073:IVR131074 JFJ131073:JFN131074 JPF131073:JPJ131074 JZB131073:JZF131074 KIX131073:KJB131074 KST131073:KSX131074 LCP131073:LCT131074 LML131073:LMP131074 LWH131073:LWL131074 MGD131073:MGH131074 MPZ131073:MQD131074 MZV131073:MZZ131074 NJR131073:NJV131074 NTN131073:NTR131074 ODJ131073:ODN131074 ONF131073:ONJ131074 OXB131073:OXF131074 PGX131073:PHB131074 PQT131073:PQX131074 QAP131073:QAT131074 QKL131073:QKP131074 QUH131073:QUL131074 RED131073:REH131074 RNZ131073:ROD131074 RXV131073:RXZ131074 SHR131073:SHV131074 SRN131073:SRR131074 TBJ131073:TBN131074 TLF131073:TLJ131074 TVB131073:TVF131074 UEX131073:UFB131074 UOT131073:UOX131074 UYP131073:UYT131074 VIL131073:VIP131074 VSH131073:VSL131074 WCD131073:WCH131074 WLZ131073:WMD131074 WVV131073:WVZ131074 N196609:R196610 JJ196609:JN196610 TF196609:TJ196610 ADB196609:ADF196610 AMX196609:ANB196610 AWT196609:AWX196610 BGP196609:BGT196610 BQL196609:BQP196610 CAH196609:CAL196610 CKD196609:CKH196610 CTZ196609:CUD196610 DDV196609:DDZ196610 DNR196609:DNV196610 DXN196609:DXR196610 EHJ196609:EHN196610 ERF196609:ERJ196610 FBB196609:FBF196610 FKX196609:FLB196610 FUT196609:FUX196610 GEP196609:GET196610 GOL196609:GOP196610 GYH196609:GYL196610 HID196609:HIH196610 HRZ196609:HSD196610 IBV196609:IBZ196610 ILR196609:ILV196610 IVN196609:IVR196610 JFJ196609:JFN196610 JPF196609:JPJ196610 JZB196609:JZF196610 KIX196609:KJB196610 KST196609:KSX196610 LCP196609:LCT196610 LML196609:LMP196610 LWH196609:LWL196610 MGD196609:MGH196610 MPZ196609:MQD196610 MZV196609:MZZ196610 NJR196609:NJV196610 NTN196609:NTR196610 ODJ196609:ODN196610 ONF196609:ONJ196610 OXB196609:OXF196610 PGX196609:PHB196610 PQT196609:PQX196610 QAP196609:QAT196610 QKL196609:QKP196610 QUH196609:QUL196610 RED196609:REH196610 RNZ196609:ROD196610 RXV196609:RXZ196610 SHR196609:SHV196610 SRN196609:SRR196610 TBJ196609:TBN196610 TLF196609:TLJ196610 TVB196609:TVF196610 UEX196609:UFB196610 UOT196609:UOX196610 UYP196609:UYT196610 VIL196609:VIP196610 VSH196609:VSL196610 WCD196609:WCH196610 WLZ196609:WMD196610 WVV196609:WVZ196610 N262145:R262146 JJ262145:JN262146 TF262145:TJ262146 ADB262145:ADF262146 AMX262145:ANB262146 AWT262145:AWX262146 BGP262145:BGT262146 BQL262145:BQP262146 CAH262145:CAL262146 CKD262145:CKH262146 CTZ262145:CUD262146 DDV262145:DDZ262146 DNR262145:DNV262146 DXN262145:DXR262146 EHJ262145:EHN262146 ERF262145:ERJ262146 FBB262145:FBF262146 FKX262145:FLB262146 FUT262145:FUX262146 GEP262145:GET262146 GOL262145:GOP262146 GYH262145:GYL262146 HID262145:HIH262146 HRZ262145:HSD262146 IBV262145:IBZ262146 ILR262145:ILV262146 IVN262145:IVR262146 JFJ262145:JFN262146 JPF262145:JPJ262146 JZB262145:JZF262146 KIX262145:KJB262146 KST262145:KSX262146 LCP262145:LCT262146 LML262145:LMP262146 LWH262145:LWL262146 MGD262145:MGH262146 MPZ262145:MQD262146 MZV262145:MZZ262146 NJR262145:NJV262146 NTN262145:NTR262146 ODJ262145:ODN262146 ONF262145:ONJ262146 OXB262145:OXF262146 PGX262145:PHB262146 PQT262145:PQX262146 QAP262145:QAT262146 QKL262145:QKP262146 QUH262145:QUL262146 RED262145:REH262146 RNZ262145:ROD262146 RXV262145:RXZ262146 SHR262145:SHV262146 SRN262145:SRR262146 TBJ262145:TBN262146 TLF262145:TLJ262146 TVB262145:TVF262146 UEX262145:UFB262146 UOT262145:UOX262146 UYP262145:UYT262146 VIL262145:VIP262146 VSH262145:VSL262146 WCD262145:WCH262146 WLZ262145:WMD262146 WVV262145:WVZ262146 N327681:R327682 JJ327681:JN327682 TF327681:TJ327682 ADB327681:ADF327682 AMX327681:ANB327682 AWT327681:AWX327682 BGP327681:BGT327682 BQL327681:BQP327682 CAH327681:CAL327682 CKD327681:CKH327682 CTZ327681:CUD327682 DDV327681:DDZ327682 DNR327681:DNV327682 DXN327681:DXR327682 EHJ327681:EHN327682 ERF327681:ERJ327682 FBB327681:FBF327682 FKX327681:FLB327682 FUT327681:FUX327682 GEP327681:GET327682 GOL327681:GOP327682 GYH327681:GYL327682 HID327681:HIH327682 HRZ327681:HSD327682 IBV327681:IBZ327682 ILR327681:ILV327682 IVN327681:IVR327682 JFJ327681:JFN327682 JPF327681:JPJ327682 JZB327681:JZF327682 KIX327681:KJB327682 KST327681:KSX327682 LCP327681:LCT327682 LML327681:LMP327682 LWH327681:LWL327682 MGD327681:MGH327682 MPZ327681:MQD327682 MZV327681:MZZ327682 NJR327681:NJV327682 NTN327681:NTR327682 ODJ327681:ODN327682 ONF327681:ONJ327682 OXB327681:OXF327682 PGX327681:PHB327682 PQT327681:PQX327682 QAP327681:QAT327682 QKL327681:QKP327682 QUH327681:QUL327682 RED327681:REH327682 RNZ327681:ROD327682 RXV327681:RXZ327682 SHR327681:SHV327682 SRN327681:SRR327682 TBJ327681:TBN327682 TLF327681:TLJ327682 TVB327681:TVF327682 UEX327681:UFB327682 UOT327681:UOX327682 UYP327681:UYT327682 VIL327681:VIP327682 VSH327681:VSL327682 WCD327681:WCH327682 WLZ327681:WMD327682 WVV327681:WVZ327682 N393217:R393218 JJ393217:JN393218 TF393217:TJ393218 ADB393217:ADF393218 AMX393217:ANB393218 AWT393217:AWX393218 BGP393217:BGT393218 BQL393217:BQP393218 CAH393217:CAL393218 CKD393217:CKH393218 CTZ393217:CUD393218 DDV393217:DDZ393218 DNR393217:DNV393218 DXN393217:DXR393218 EHJ393217:EHN393218 ERF393217:ERJ393218 FBB393217:FBF393218 FKX393217:FLB393218 FUT393217:FUX393218 GEP393217:GET393218 GOL393217:GOP393218 GYH393217:GYL393218 HID393217:HIH393218 HRZ393217:HSD393218 IBV393217:IBZ393218 ILR393217:ILV393218 IVN393217:IVR393218 JFJ393217:JFN393218 JPF393217:JPJ393218 JZB393217:JZF393218 KIX393217:KJB393218 KST393217:KSX393218 LCP393217:LCT393218 LML393217:LMP393218 LWH393217:LWL393218 MGD393217:MGH393218 MPZ393217:MQD393218 MZV393217:MZZ393218 NJR393217:NJV393218 NTN393217:NTR393218 ODJ393217:ODN393218 ONF393217:ONJ393218 OXB393217:OXF393218 PGX393217:PHB393218 PQT393217:PQX393218 QAP393217:QAT393218 QKL393217:QKP393218 QUH393217:QUL393218 RED393217:REH393218 RNZ393217:ROD393218 RXV393217:RXZ393218 SHR393217:SHV393218 SRN393217:SRR393218 TBJ393217:TBN393218 TLF393217:TLJ393218 TVB393217:TVF393218 UEX393217:UFB393218 UOT393217:UOX393218 UYP393217:UYT393218 VIL393217:VIP393218 VSH393217:VSL393218 WCD393217:WCH393218 WLZ393217:WMD393218 WVV393217:WVZ393218 N458753:R458754 JJ458753:JN458754 TF458753:TJ458754 ADB458753:ADF458754 AMX458753:ANB458754 AWT458753:AWX458754 BGP458753:BGT458754 BQL458753:BQP458754 CAH458753:CAL458754 CKD458753:CKH458754 CTZ458753:CUD458754 DDV458753:DDZ458754 DNR458753:DNV458754 DXN458753:DXR458754 EHJ458753:EHN458754 ERF458753:ERJ458754 FBB458753:FBF458754 FKX458753:FLB458754 FUT458753:FUX458754 GEP458753:GET458754 GOL458753:GOP458754 GYH458753:GYL458754 HID458753:HIH458754 HRZ458753:HSD458754 IBV458753:IBZ458754 ILR458753:ILV458754 IVN458753:IVR458754 JFJ458753:JFN458754 JPF458753:JPJ458754 JZB458753:JZF458754 KIX458753:KJB458754 KST458753:KSX458754 LCP458753:LCT458754 LML458753:LMP458754 LWH458753:LWL458754 MGD458753:MGH458754 MPZ458753:MQD458754 MZV458753:MZZ458754 NJR458753:NJV458754 NTN458753:NTR458754 ODJ458753:ODN458754 ONF458753:ONJ458754 OXB458753:OXF458754 PGX458753:PHB458754 PQT458753:PQX458754 QAP458753:QAT458754 QKL458753:QKP458754 QUH458753:QUL458754 RED458753:REH458754 RNZ458753:ROD458754 RXV458753:RXZ458754 SHR458753:SHV458754 SRN458753:SRR458754 TBJ458753:TBN458754 TLF458753:TLJ458754 TVB458753:TVF458754 UEX458753:UFB458754 UOT458753:UOX458754 UYP458753:UYT458754 VIL458753:VIP458754 VSH458753:VSL458754 WCD458753:WCH458754 WLZ458753:WMD458754 WVV458753:WVZ458754 N524289:R524290 JJ524289:JN524290 TF524289:TJ524290 ADB524289:ADF524290 AMX524289:ANB524290 AWT524289:AWX524290 BGP524289:BGT524290 BQL524289:BQP524290 CAH524289:CAL524290 CKD524289:CKH524290 CTZ524289:CUD524290 DDV524289:DDZ524290 DNR524289:DNV524290 DXN524289:DXR524290 EHJ524289:EHN524290 ERF524289:ERJ524290 FBB524289:FBF524290 FKX524289:FLB524290 FUT524289:FUX524290 GEP524289:GET524290 GOL524289:GOP524290 GYH524289:GYL524290 HID524289:HIH524290 HRZ524289:HSD524290 IBV524289:IBZ524290 ILR524289:ILV524290 IVN524289:IVR524290 JFJ524289:JFN524290 JPF524289:JPJ524290 JZB524289:JZF524290 KIX524289:KJB524290 KST524289:KSX524290 LCP524289:LCT524290 LML524289:LMP524290 LWH524289:LWL524290 MGD524289:MGH524290 MPZ524289:MQD524290 MZV524289:MZZ524290 NJR524289:NJV524290 NTN524289:NTR524290 ODJ524289:ODN524290 ONF524289:ONJ524290 OXB524289:OXF524290 PGX524289:PHB524290 PQT524289:PQX524290 QAP524289:QAT524290 QKL524289:QKP524290 QUH524289:QUL524290 RED524289:REH524290 RNZ524289:ROD524290 RXV524289:RXZ524290 SHR524289:SHV524290 SRN524289:SRR524290 TBJ524289:TBN524290 TLF524289:TLJ524290 TVB524289:TVF524290 UEX524289:UFB524290 UOT524289:UOX524290 UYP524289:UYT524290 VIL524289:VIP524290 VSH524289:VSL524290 WCD524289:WCH524290 WLZ524289:WMD524290 WVV524289:WVZ524290 N589825:R589826 JJ589825:JN589826 TF589825:TJ589826 ADB589825:ADF589826 AMX589825:ANB589826 AWT589825:AWX589826 BGP589825:BGT589826 BQL589825:BQP589826 CAH589825:CAL589826 CKD589825:CKH589826 CTZ589825:CUD589826 DDV589825:DDZ589826 DNR589825:DNV589826 DXN589825:DXR589826 EHJ589825:EHN589826 ERF589825:ERJ589826 FBB589825:FBF589826 FKX589825:FLB589826 FUT589825:FUX589826 GEP589825:GET589826 GOL589825:GOP589826 GYH589825:GYL589826 HID589825:HIH589826 HRZ589825:HSD589826 IBV589825:IBZ589826 ILR589825:ILV589826 IVN589825:IVR589826 JFJ589825:JFN589826 JPF589825:JPJ589826 JZB589825:JZF589826 KIX589825:KJB589826 KST589825:KSX589826 LCP589825:LCT589826 LML589825:LMP589826 LWH589825:LWL589826 MGD589825:MGH589826 MPZ589825:MQD589826 MZV589825:MZZ589826 NJR589825:NJV589826 NTN589825:NTR589826 ODJ589825:ODN589826 ONF589825:ONJ589826 OXB589825:OXF589826 PGX589825:PHB589826 PQT589825:PQX589826 QAP589825:QAT589826 QKL589825:QKP589826 QUH589825:QUL589826 RED589825:REH589826 RNZ589825:ROD589826 RXV589825:RXZ589826 SHR589825:SHV589826 SRN589825:SRR589826 TBJ589825:TBN589826 TLF589825:TLJ589826 TVB589825:TVF589826 UEX589825:UFB589826 UOT589825:UOX589826 UYP589825:UYT589826 VIL589825:VIP589826 VSH589825:VSL589826 WCD589825:WCH589826 WLZ589825:WMD589826 WVV589825:WVZ589826 N655361:R655362 JJ655361:JN655362 TF655361:TJ655362 ADB655361:ADF655362 AMX655361:ANB655362 AWT655361:AWX655362 BGP655361:BGT655362 BQL655361:BQP655362 CAH655361:CAL655362 CKD655361:CKH655362 CTZ655361:CUD655362 DDV655361:DDZ655362 DNR655361:DNV655362 DXN655361:DXR655362 EHJ655361:EHN655362 ERF655361:ERJ655362 FBB655361:FBF655362 FKX655361:FLB655362 FUT655361:FUX655362 GEP655361:GET655362 GOL655361:GOP655362 GYH655361:GYL655362 HID655361:HIH655362 HRZ655361:HSD655362 IBV655361:IBZ655362 ILR655361:ILV655362 IVN655361:IVR655362 JFJ655361:JFN655362 JPF655361:JPJ655362 JZB655361:JZF655362 KIX655361:KJB655362 KST655361:KSX655362 LCP655361:LCT655362 LML655361:LMP655362 LWH655361:LWL655362 MGD655361:MGH655362 MPZ655361:MQD655362 MZV655361:MZZ655362 NJR655361:NJV655362 NTN655361:NTR655362 ODJ655361:ODN655362 ONF655361:ONJ655362 OXB655361:OXF655362 PGX655361:PHB655362 PQT655361:PQX655362 QAP655361:QAT655362 QKL655361:QKP655362 QUH655361:QUL655362 RED655361:REH655362 RNZ655361:ROD655362 RXV655361:RXZ655362 SHR655361:SHV655362 SRN655361:SRR655362 TBJ655361:TBN655362 TLF655361:TLJ655362 TVB655361:TVF655362 UEX655361:UFB655362 UOT655361:UOX655362 UYP655361:UYT655362 VIL655361:VIP655362 VSH655361:VSL655362 WCD655361:WCH655362 WLZ655361:WMD655362 WVV655361:WVZ655362 N720897:R720898 JJ720897:JN720898 TF720897:TJ720898 ADB720897:ADF720898 AMX720897:ANB720898 AWT720897:AWX720898 BGP720897:BGT720898 BQL720897:BQP720898 CAH720897:CAL720898 CKD720897:CKH720898 CTZ720897:CUD720898 DDV720897:DDZ720898 DNR720897:DNV720898 DXN720897:DXR720898 EHJ720897:EHN720898 ERF720897:ERJ720898 FBB720897:FBF720898 FKX720897:FLB720898 FUT720897:FUX720898 GEP720897:GET720898 GOL720897:GOP720898 GYH720897:GYL720898 HID720897:HIH720898 HRZ720897:HSD720898 IBV720897:IBZ720898 ILR720897:ILV720898 IVN720897:IVR720898 JFJ720897:JFN720898 JPF720897:JPJ720898 JZB720897:JZF720898 KIX720897:KJB720898 KST720897:KSX720898 LCP720897:LCT720898 LML720897:LMP720898 LWH720897:LWL720898 MGD720897:MGH720898 MPZ720897:MQD720898 MZV720897:MZZ720898 NJR720897:NJV720898 NTN720897:NTR720898 ODJ720897:ODN720898 ONF720897:ONJ720898 OXB720897:OXF720898 PGX720897:PHB720898 PQT720897:PQX720898 QAP720897:QAT720898 QKL720897:QKP720898 QUH720897:QUL720898 RED720897:REH720898 RNZ720897:ROD720898 RXV720897:RXZ720898 SHR720897:SHV720898 SRN720897:SRR720898 TBJ720897:TBN720898 TLF720897:TLJ720898 TVB720897:TVF720898 UEX720897:UFB720898 UOT720897:UOX720898 UYP720897:UYT720898 VIL720897:VIP720898 VSH720897:VSL720898 WCD720897:WCH720898 WLZ720897:WMD720898 WVV720897:WVZ720898 N786433:R786434 JJ786433:JN786434 TF786433:TJ786434 ADB786433:ADF786434 AMX786433:ANB786434 AWT786433:AWX786434 BGP786433:BGT786434 BQL786433:BQP786434 CAH786433:CAL786434 CKD786433:CKH786434 CTZ786433:CUD786434 DDV786433:DDZ786434 DNR786433:DNV786434 DXN786433:DXR786434 EHJ786433:EHN786434 ERF786433:ERJ786434 FBB786433:FBF786434 FKX786433:FLB786434 FUT786433:FUX786434 GEP786433:GET786434 GOL786433:GOP786434 GYH786433:GYL786434 HID786433:HIH786434 HRZ786433:HSD786434 IBV786433:IBZ786434 ILR786433:ILV786434 IVN786433:IVR786434 JFJ786433:JFN786434 JPF786433:JPJ786434 JZB786433:JZF786434 KIX786433:KJB786434 KST786433:KSX786434 LCP786433:LCT786434 LML786433:LMP786434 LWH786433:LWL786434 MGD786433:MGH786434 MPZ786433:MQD786434 MZV786433:MZZ786434 NJR786433:NJV786434 NTN786433:NTR786434 ODJ786433:ODN786434 ONF786433:ONJ786434 OXB786433:OXF786434 PGX786433:PHB786434 PQT786433:PQX786434 QAP786433:QAT786434 QKL786433:QKP786434 QUH786433:QUL786434 RED786433:REH786434 RNZ786433:ROD786434 RXV786433:RXZ786434 SHR786433:SHV786434 SRN786433:SRR786434 TBJ786433:TBN786434 TLF786433:TLJ786434 TVB786433:TVF786434 UEX786433:UFB786434 UOT786433:UOX786434 UYP786433:UYT786434 VIL786433:VIP786434 VSH786433:VSL786434 WCD786433:WCH786434 WLZ786433:WMD786434 WVV786433:WVZ786434 N851969:R851970 JJ851969:JN851970 TF851969:TJ851970 ADB851969:ADF851970 AMX851969:ANB851970 AWT851969:AWX851970 BGP851969:BGT851970 BQL851969:BQP851970 CAH851969:CAL851970 CKD851969:CKH851970 CTZ851969:CUD851970 DDV851969:DDZ851970 DNR851969:DNV851970 DXN851969:DXR851970 EHJ851969:EHN851970 ERF851969:ERJ851970 FBB851969:FBF851970 FKX851969:FLB851970 FUT851969:FUX851970 GEP851969:GET851970 GOL851969:GOP851970 GYH851969:GYL851970 HID851969:HIH851970 HRZ851969:HSD851970 IBV851969:IBZ851970 ILR851969:ILV851970 IVN851969:IVR851970 JFJ851969:JFN851970 JPF851969:JPJ851970 JZB851969:JZF851970 KIX851969:KJB851970 KST851969:KSX851970 LCP851969:LCT851970 LML851969:LMP851970 LWH851969:LWL851970 MGD851969:MGH851970 MPZ851969:MQD851970 MZV851969:MZZ851970 NJR851969:NJV851970 NTN851969:NTR851970 ODJ851969:ODN851970 ONF851969:ONJ851970 OXB851969:OXF851970 PGX851969:PHB851970 PQT851969:PQX851970 QAP851969:QAT851970 QKL851969:QKP851970 QUH851969:QUL851970 RED851969:REH851970 RNZ851969:ROD851970 RXV851969:RXZ851970 SHR851969:SHV851970 SRN851969:SRR851970 TBJ851969:TBN851970 TLF851969:TLJ851970 TVB851969:TVF851970 UEX851969:UFB851970 UOT851969:UOX851970 UYP851969:UYT851970 VIL851969:VIP851970 VSH851969:VSL851970 WCD851969:WCH851970 WLZ851969:WMD851970 WVV851969:WVZ851970 N917505:R917506 JJ917505:JN917506 TF917505:TJ917506 ADB917505:ADF917506 AMX917505:ANB917506 AWT917505:AWX917506 BGP917505:BGT917506 BQL917505:BQP917506 CAH917505:CAL917506 CKD917505:CKH917506 CTZ917505:CUD917506 DDV917505:DDZ917506 DNR917505:DNV917506 DXN917505:DXR917506 EHJ917505:EHN917506 ERF917505:ERJ917506 FBB917505:FBF917506 FKX917505:FLB917506 FUT917505:FUX917506 GEP917505:GET917506 GOL917505:GOP917506 GYH917505:GYL917506 HID917505:HIH917506 HRZ917505:HSD917506 IBV917505:IBZ917506 ILR917505:ILV917506 IVN917505:IVR917506 JFJ917505:JFN917506 JPF917505:JPJ917506 JZB917505:JZF917506 KIX917505:KJB917506 KST917505:KSX917506 LCP917505:LCT917506 LML917505:LMP917506 LWH917505:LWL917506 MGD917505:MGH917506 MPZ917505:MQD917506 MZV917505:MZZ917506 NJR917505:NJV917506 NTN917505:NTR917506 ODJ917505:ODN917506 ONF917505:ONJ917506 OXB917505:OXF917506 PGX917505:PHB917506 PQT917505:PQX917506 QAP917505:QAT917506 QKL917505:QKP917506 QUH917505:QUL917506 RED917505:REH917506 RNZ917505:ROD917506 RXV917505:RXZ917506 SHR917505:SHV917506 SRN917505:SRR917506 TBJ917505:TBN917506 TLF917505:TLJ917506 TVB917505:TVF917506 UEX917505:UFB917506 UOT917505:UOX917506 UYP917505:UYT917506 VIL917505:VIP917506 VSH917505:VSL917506 WCD917505:WCH917506 WLZ917505:WMD917506 WVV917505:WVZ917506 N983041:R983042 JJ983041:JN983042 TF983041:TJ983042 ADB983041:ADF983042 AMX983041:ANB983042 AWT983041:AWX983042 BGP983041:BGT983042 BQL983041:BQP983042 CAH983041:CAL983042 CKD983041:CKH983042 CTZ983041:CUD983042 DDV983041:DDZ983042 DNR983041:DNV983042 DXN983041:DXR983042 EHJ983041:EHN983042 ERF983041:ERJ983042 FBB983041:FBF983042 FKX983041:FLB983042 FUT983041:FUX983042 GEP983041:GET983042 GOL983041:GOP983042 GYH983041:GYL983042 HID983041:HIH983042 HRZ983041:HSD983042 IBV983041:IBZ983042 ILR983041:ILV983042 IVN983041:IVR983042 JFJ983041:JFN983042 JPF983041:JPJ983042 JZB983041:JZF983042 KIX983041:KJB983042 KST983041:KSX983042 LCP983041:LCT983042 LML983041:LMP983042 LWH983041:LWL983042 MGD983041:MGH983042 MPZ983041:MQD983042 MZV983041:MZZ983042 NJR983041:NJV983042 NTN983041:NTR983042 ODJ983041:ODN983042 ONF983041:ONJ983042 OXB983041:OXF983042 PGX983041:PHB983042 PQT983041:PQX983042 QAP983041:QAT983042 QKL983041:QKP983042 QUH983041:QUL983042 RED983041:REH983042 RNZ983041:ROD983042 RXV983041:RXZ983042 SHR983041:SHV983042 SRN983041:SRR983042 TBJ983041:TBN983042 TLF983041:TLJ983042 TVB983041:TVF983042 UEX983041:UFB983042 UOT983041:UOX983042 UYP983041:UYT983042 VIL983041:VIP983042 VSH983041:VSL983042 WCD983041:WCH983042 WLZ983041:WMD983042 WVV983041:WVZ983042">
      <formula1>"Planned,Actual"</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5"/>
  <sheetViews>
    <sheetView topLeftCell="A23" workbookViewId="0">
      <selection activeCell="H46" sqref="H46"/>
    </sheetView>
  </sheetViews>
  <sheetFormatPr defaultRowHeight="15"/>
  <cols>
    <col min="5" max="5" width="13.42578125" customWidth="1"/>
    <col min="6" max="6" width="11.42578125" customWidth="1"/>
    <col min="8" max="8" width="12.85546875" customWidth="1"/>
  </cols>
  <sheetData>
    <row r="1" spans="2:24" ht="18">
      <c r="B1" s="346"/>
      <c r="C1" s="345"/>
      <c r="D1" s="345"/>
      <c r="E1" s="345"/>
      <c r="F1" s="345"/>
      <c r="G1" s="345"/>
      <c r="H1" s="345"/>
      <c r="I1" s="345"/>
      <c r="J1" s="345"/>
      <c r="K1" s="345"/>
      <c r="L1" s="345"/>
      <c r="M1" s="345"/>
      <c r="N1" s="345"/>
      <c r="O1" s="345"/>
      <c r="P1" s="345"/>
      <c r="Q1" s="345"/>
      <c r="R1" s="345"/>
      <c r="S1" s="345"/>
      <c r="T1" s="345"/>
      <c r="U1" s="345"/>
      <c r="V1" s="345"/>
      <c r="W1" s="345"/>
      <c r="X1" s="347" t="s">
        <v>352</v>
      </c>
    </row>
    <row r="2" spans="2:24">
      <c r="B2" s="348"/>
      <c r="C2" s="349"/>
      <c r="D2" s="349"/>
      <c r="E2" s="349"/>
      <c r="F2" s="350"/>
      <c r="G2" s="350"/>
      <c r="H2" s="350"/>
      <c r="I2" s="350"/>
      <c r="J2" s="350"/>
      <c r="K2" s="350"/>
      <c r="L2" s="350"/>
      <c r="M2" s="350"/>
      <c r="N2" s="350"/>
      <c r="O2" s="349"/>
      <c r="P2" s="345"/>
      <c r="Q2" s="349"/>
      <c r="R2" s="350"/>
      <c r="S2" s="349"/>
      <c r="T2" s="349"/>
      <c r="U2" s="351" t="s">
        <v>226</v>
      </c>
      <c r="V2" s="421"/>
      <c r="W2" s="421"/>
      <c r="X2" s="351" t="s">
        <v>353</v>
      </c>
    </row>
    <row r="3" spans="2:24">
      <c r="B3" s="348"/>
      <c r="C3" s="349"/>
      <c r="D3" s="349"/>
      <c r="E3" s="349"/>
      <c r="F3" s="350"/>
      <c r="G3" s="350"/>
      <c r="H3" s="350"/>
      <c r="I3" s="350"/>
      <c r="J3" s="350"/>
      <c r="K3" s="350"/>
      <c r="L3" s="350"/>
      <c r="M3" s="350"/>
      <c r="N3" s="350"/>
      <c r="O3" s="351"/>
      <c r="P3" s="345"/>
      <c r="Q3" s="349"/>
      <c r="R3" s="350"/>
      <c r="S3" s="349"/>
      <c r="T3" s="349"/>
      <c r="U3" s="421"/>
      <c r="V3" s="421"/>
      <c r="W3" s="421"/>
      <c r="X3" s="347" t="s">
        <v>220</v>
      </c>
    </row>
    <row r="4" spans="2:24">
      <c r="B4" s="348"/>
      <c r="C4" s="349"/>
      <c r="D4" s="349"/>
      <c r="E4" s="349"/>
      <c r="F4" s="350"/>
      <c r="G4" s="350"/>
      <c r="H4" s="350"/>
      <c r="I4" s="350"/>
      <c r="J4" s="350"/>
      <c r="K4" s="350"/>
      <c r="L4" s="350"/>
      <c r="M4" s="350"/>
      <c r="N4" s="350"/>
      <c r="O4" s="351"/>
      <c r="P4" s="345"/>
      <c r="Q4" s="349"/>
      <c r="R4" s="350"/>
      <c r="S4" s="349"/>
      <c r="T4" s="349"/>
      <c r="U4" s="421"/>
      <c r="V4" s="421"/>
      <c r="W4" s="421"/>
      <c r="X4" s="351" t="s">
        <v>354</v>
      </c>
    </row>
    <row r="5" spans="2:24">
      <c r="B5" s="348"/>
      <c r="C5" s="349"/>
      <c r="D5" s="349"/>
      <c r="E5" s="349"/>
      <c r="F5" s="350"/>
      <c r="G5" s="350"/>
      <c r="H5" s="350"/>
      <c r="I5" s="350"/>
      <c r="J5" s="350"/>
      <c r="K5" s="350"/>
      <c r="L5" s="350"/>
      <c r="M5" s="350"/>
      <c r="N5" s="350"/>
      <c r="O5" s="350"/>
      <c r="P5" s="350"/>
      <c r="Q5" s="350"/>
      <c r="R5" s="350"/>
      <c r="S5" s="349"/>
      <c r="T5" s="349"/>
      <c r="U5" s="349"/>
      <c r="V5" s="349"/>
      <c r="W5" s="349"/>
      <c r="X5" s="349"/>
    </row>
    <row r="6" spans="2:24">
      <c r="B6" s="348" t="s">
        <v>355</v>
      </c>
      <c r="C6" s="349"/>
      <c r="D6" s="349"/>
      <c r="E6" s="349"/>
      <c r="F6" s="350"/>
      <c r="G6" s="350"/>
      <c r="H6" s="350"/>
      <c r="I6" s="350"/>
      <c r="J6" s="350"/>
      <c r="K6" s="350"/>
      <c r="L6" s="350"/>
      <c r="M6" s="350"/>
      <c r="N6" s="350"/>
      <c r="O6" s="350"/>
      <c r="P6" s="350"/>
      <c r="Q6" s="350"/>
      <c r="R6" s="350"/>
      <c r="S6" s="349"/>
      <c r="T6" s="349"/>
      <c r="U6" s="349"/>
      <c r="V6" s="349"/>
      <c r="W6" s="349"/>
      <c r="X6" s="349"/>
    </row>
    <row r="7" spans="2:24">
      <c r="B7" s="348" t="s">
        <v>356</v>
      </c>
      <c r="C7" s="349"/>
      <c r="D7" s="349"/>
      <c r="E7" s="349"/>
      <c r="F7" s="350"/>
      <c r="G7" s="350"/>
      <c r="H7" s="350"/>
      <c r="I7" s="350"/>
      <c r="J7" s="350"/>
      <c r="K7" s="350"/>
      <c r="L7" s="350"/>
      <c r="M7" s="350"/>
      <c r="N7" s="350"/>
      <c r="O7" s="350"/>
      <c r="P7" s="350"/>
      <c r="Q7" s="350"/>
      <c r="R7" s="350"/>
      <c r="S7" s="349"/>
      <c r="T7" s="349"/>
      <c r="U7" s="349"/>
      <c r="V7" s="349"/>
      <c r="W7" s="349"/>
      <c r="X7" s="349"/>
    </row>
    <row r="8" spans="2:24">
      <c r="B8" s="348" t="s">
        <v>357</v>
      </c>
      <c r="C8" s="349"/>
      <c r="D8" s="349"/>
      <c r="E8" s="349"/>
      <c r="F8" s="350"/>
      <c r="G8" s="350"/>
      <c r="H8" s="350"/>
      <c r="I8" s="350"/>
      <c r="J8" s="350"/>
      <c r="K8" s="350"/>
      <c r="L8" s="350"/>
      <c r="M8" s="350"/>
      <c r="N8" s="350"/>
      <c r="O8" s="350"/>
      <c r="P8" s="350"/>
      <c r="Q8" s="350"/>
      <c r="R8" s="350"/>
      <c r="S8" s="349"/>
      <c r="T8" s="349"/>
      <c r="U8" s="349"/>
      <c r="V8" s="349"/>
      <c r="W8" s="349"/>
      <c r="X8" s="349"/>
    </row>
    <row r="9" spans="2:24">
      <c r="B9" s="348" t="s">
        <v>358</v>
      </c>
      <c r="C9" s="349"/>
      <c r="D9" s="349"/>
      <c r="E9" s="349"/>
      <c r="F9" s="350"/>
      <c r="G9" s="350"/>
      <c r="H9" s="350"/>
      <c r="I9" s="350"/>
      <c r="J9" s="350"/>
      <c r="K9" s="350"/>
      <c r="L9" s="350"/>
      <c r="M9" s="350"/>
      <c r="N9" s="350"/>
      <c r="O9" s="350"/>
      <c r="P9" s="350"/>
      <c r="Q9" s="350"/>
      <c r="R9" s="350"/>
      <c r="S9" s="349"/>
      <c r="T9" s="349"/>
      <c r="U9" s="349"/>
      <c r="V9" s="349"/>
      <c r="W9" s="349"/>
      <c r="X9" s="349"/>
    </row>
    <row r="10" spans="2:24">
      <c r="B10" s="348"/>
      <c r="C10" s="349"/>
      <c r="D10" s="349"/>
      <c r="E10" s="349"/>
      <c r="F10" s="350"/>
      <c r="G10" s="350"/>
      <c r="H10" s="350"/>
      <c r="I10" s="350"/>
      <c r="J10" s="350"/>
      <c r="K10" s="350"/>
      <c r="L10" s="350"/>
      <c r="M10" s="350"/>
      <c r="N10" s="350"/>
      <c r="O10" s="350"/>
      <c r="P10" s="350"/>
      <c r="Q10" s="350"/>
      <c r="R10" s="350"/>
      <c r="S10" s="349"/>
      <c r="T10" s="349"/>
      <c r="U10" s="349"/>
      <c r="V10" s="349"/>
      <c r="W10" s="349"/>
      <c r="X10" s="349"/>
    </row>
    <row r="11" spans="2:24">
      <c r="B11" s="352"/>
      <c r="C11" s="353"/>
      <c r="D11" s="353"/>
      <c r="E11" s="353"/>
      <c r="F11" s="354"/>
      <c r="G11" s="354"/>
      <c r="H11" s="354"/>
      <c r="I11" s="354"/>
      <c r="J11" s="354"/>
      <c r="K11" s="354"/>
      <c r="L11" s="354"/>
      <c r="M11" s="354"/>
      <c r="N11" s="354"/>
      <c r="O11" s="354"/>
      <c r="P11" s="354"/>
      <c r="Q11" s="354"/>
      <c r="R11" s="354"/>
      <c r="S11" s="353"/>
      <c r="T11" s="353"/>
      <c r="U11" s="353"/>
      <c r="V11" s="353"/>
      <c r="W11" s="353"/>
      <c r="X11" s="353"/>
    </row>
    <row r="12" spans="2:24">
      <c r="B12" s="348"/>
      <c r="C12" s="349"/>
      <c r="D12" s="349"/>
      <c r="E12" s="349"/>
      <c r="F12" s="350"/>
      <c r="G12" s="350"/>
      <c r="H12" s="350"/>
      <c r="I12" s="350"/>
      <c r="J12" s="350"/>
      <c r="K12" s="350"/>
      <c r="L12" s="350"/>
      <c r="M12" s="350"/>
      <c r="N12" s="350"/>
      <c r="O12" s="350"/>
      <c r="P12" s="350"/>
      <c r="Q12" s="350"/>
      <c r="R12" s="350"/>
      <c r="S12" s="349"/>
      <c r="T12" s="349"/>
      <c r="U12" s="349"/>
      <c r="V12" s="349"/>
      <c r="W12" s="349"/>
      <c r="X12" s="349"/>
    </row>
    <row r="13" spans="2:24" ht="18">
      <c r="B13" s="346" t="s">
        <v>359</v>
      </c>
      <c r="C13" s="349"/>
      <c r="D13" s="349"/>
      <c r="E13" s="349"/>
      <c r="F13" s="350"/>
      <c r="G13" s="350"/>
      <c r="H13" s="350"/>
      <c r="I13" s="350"/>
      <c r="J13" s="350"/>
      <c r="K13" s="350"/>
      <c r="L13" s="350"/>
      <c r="M13" s="350"/>
      <c r="N13" s="350"/>
      <c r="O13" s="350"/>
      <c r="P13" s="350"/>
      <c r="Q13" s="350"/>
      <c r="R13" s="350"/>
      <c r="S13" s="349"/>
      <c r="T13" s="349"/>
      <c r="U13" s="349"/>
      <c r="V13" s="349"/>
      <c r="W13" s="349"/>
      <c r="X13" s="349"/>
    </row>
    <row r="14" spans="2:24">
      <c r="B14" s="348"/>
      <c r="C14" s="349"/>
      <c r="D14" s="349"/>
      <c r="E14" s="349"/>
      <c r="F14" s="350"/>
      <c r="G14" s="350"/>
      <c r="H14" s="350"/>
      <c r="I14" s="350"/>
      <c r="J14" s="350"/>
      <c r="K14" s="350"/>
      <c r="L14" s="350"/>
      <c r="M14" s="350"/>
      <c r="N14" s="350"/>
      <c r="O14" s="350"/>
      <c r="P14" s="350"/>
      <c r="Q14" s="350"/>
      <c r="R14" s="350"/>
      <c r="S14" s="349"/>
      <c r="T14" s="349"/>
      <c r="U14" s="349"/>
      <c r="V14" s="349"/>
      <c r="W14" s="349"/>
      <c r="X14" s="349"/>
    </row>
    <row r="15" spans="2:24">
      <c r="B15" s="348"/>
      <c r="C15" s="345"/>
      <c r="D15" s="345"/>
      <c r="E15" s="345"/>
      <c r="F15" s="697" t="s">
        <v>360</v>
      </c>
      <c r="G15" s="698"/>
      <c r="H15" s="698"/>
      <c r="I15" s="698"/>
      <c r="J15" s="698"/>
      <c r="K15" s="698"/>
      <c r="L15" s="698"/>
      <c r="M15" s="698"/>
      <c r="N15" s="698"/>
      <c r="O15" s="698"/>
      <c r="P15" s="698"/>
      <c r="Q15" s="698"/>
      <c r="R15" s="698"/>
      <c r="S15" s="698"/>
      <c r="T15" s="699"/>
      <c r="U15" s="345"/>
      <c r="V15" s="345"/>
      <c r="W15" s="345"/>
      <c r="X15" s="345"/>
    </row>
    <row r="16" spans="2:24" ht="25.5">
      <c r="B16" s="345"/>
      <c r="C16" s="355"/>
      <c r="D16" s="355"/>
      <c r="E16" s="356" t="s">
        <v>361</v>
      </c>
      <c r="F16" s="357"/>
      <c r="G16" s="358"/>
      <c r="H16" s="358"/>
      <c r="I16" s="358"/>
      <c r="J16" s="358"/>
      <c r="K16" s="358"/>
      <c r="L16" s="358"/>
      <c r="M16" s="358"/>
      <c r="N16" s="358"/>
      <c r="O16" s="358"/>
      <c r="P16" s="358"/>
      <c r="Q16" s="358"/>
      <c r="R16" s="358"/>
      <c r="S16" s="359"/>
      <c r="T16" s="360"/>
      <c r="U16" s="345"/>
      <c r="V16" s="345"/>
      <c r="W16" s="345"/>
      <c r="X16" s="345"/>
    </row>
    <row r="17" spans="2:23" ht="25.5">
      <c r="B17" s="345"/>
      <c r="C17" s="355"/>
      <c r="D17" s="355"/>
      <c r="E17" s="361" t="s">
        <v>362</v>
      </c>
      <c r="F17" s="362">
        <v>10</v>
      </c>
      <c r="G17" s="363">
        <v>5</v>
      </c>
      <c r="H17" s="363">
        <v>3</v>
      </c>
      <c r="I17" s="363" t="s">
        <v>363</v>
      </c>
      <c r="J17" s="363" t="s">
        <v>363</v>
      </c>
      <c r="K17" s="363" t="s">
        <v>363</v>
      </c>
      <c r="L17" s="363" t="s">
        <v>363</v>
      </c>
      <c r="M17" s="363" t="s">
        <v>363</v>
      </c>
      <c r="N17" s="363" t="s">
        <v>363</v>
      </c>
      <c r="O17" s="363" t="s">
        <v>363</v>
      </c>
      <c r="P17" s="363" t="s">
        <v>363</v>
      </c>
      <c r="Q17" s="363" t="s">
        <v>363</v>
      </c>
      <c r="R17" s="363" t="s">
        <v>363</v>
      </c>
      <c r="S17" s="363" t="s">
        <v>363</v>
      </c>
      <c r="T17" s="364" t="s">
        <v>363</v>
      </c>
      <c r="U17" s="345"/>
      <c r="V17" s="345"/>
      <c r="W17" s="345"/>
    </row>
    <row r="18" spans="2:23">
      <c r="B18" s="345"/>
      <c r="C18" s="355"/>
      <c r="D18" s="355"/>
      <c r="E18" s="355"/>
      <c r="F18" s="365">
        <v>1</v>
      </c>
      <c r="G18" s="366">
        <v>2</v>
      </c>
      <c r="H18" s="366">
        <v>3</v>
      </c>
      <c r="I18" s="366">
        <v>4</v>
      </c>
      <c r="J18" s="366">
        <v>5</v>
      </c>
      <c r="K18" s="366">
        <v>6</v>
      </c>
      <c r="L18" s="366">
        <v>7</v>
      </c>
      <c r="M18" s="366">
        <v>8</v>
      </c>
      <c r="N18" s="366">
        <v>9</v>
      </c>
      <c r="O18" s="366">
        <v>10</v>
      </c>
      <c r="P18" s="366">
        <v>11</v>
      </c>
      <c r="Q18" s="366">
        <v>12</v>
      </c>
      <c r="R18" s="366">
        <v>13</v>
      </c>
      <c r="S18" s="366">
        <v>14</v>
      </c>
      <c r="T18" s="367">
        <v>15</v>
      </c>
      <c r="U18" s="345"/>
      <c r="V18" s="345"/>
      <c r="W18" s="345"/>
    </row>
    <row r="19" spans="2:23" ht="38.25">
      <c r="B19" s="345"/>
      <c r="C19" s="355" t="s">
        <v>364</v>
      </c>
      <c r="D19" s="368" t="s">
        <v>365</v>
      </c>
      <c r="E19" s="368" t="s">
        <v>366</v>
      </c>
      <c r="F19" s="369" t="s">
        <v>377</v>
      </c>
      <c r="G19" s="370" t="s">
        <v>378</v>
      </c>
      <c r="H19" s="370" t="s">
        <v>379</v>
      </c>
      <c r="I19" s="370"/>
      <c r="J19" s="370"/>
      <c r="K19" s="370"/>
      <c r="L19" s="370"/>
      <c r="M19" s="370"/>
      <c r="N19" s="370"/>
      <c r="O19" s="370"/>
      <c r="P19" s="370"/>
      <c r="Q19" s="370"/>
      <c r="R19" s="370"/>
      <c r="S19" s="370"/>
      <c r="T19" s="371"/>
      <c r="U19" s="372" t="s">
        <v>248</v>
      </c>
      <c r="V19" s="373" t="s">
        <v>367</v>
      </c>
      <c r="W19" s="373" t="s">
        <v>101</v>
      </c>
    </row>
    <row r="20" spans="2:23" ht="39.75" customHeight="1">
      <c r="B20" s="700" t="s">
        <v>368</v>
      </c>
      <c r="C20" s="374">
        <v>1</v>
      </c>
      <c r="D20" s="375" t="s">
        <v>369</v>
      </c>
      <c r="E20" s="376" t="s">
        <v>380</v>
      </c>
      <c r="F20" s="377">
        <v>9</v>
      </c>
      <c r="G20" s="378">
        <v>1</v>
      </c>
      <c r="H20" s="378">
        <v>1</v>
      </c>
      <c r="I20" s="378"/>
      <c r="J20" s="378"/>
      <c r="K20" s="378"/>
      <c r="L20" s="378"/>
      <c r="M20" s="378"/>
      <c r="N20" s="378"/>
      <c r="O20" s="378"/>
      <c r="P20" s="378"/>
      <c r="Q20" s="378"/>
      <c r="R20" s="378"/>
      <c r="S20" s="378"/>
      <c r="T20" s="379"/>
      <c r="U20" s="380">
        <v>2</v>
      </c>
      <c r="V20" s="381" t="s">
        <v>363</v>
      </c>
      <c r="W20" s="382">
        <f>SUMPRODUCT(F20:T20,$F$17:$T$17)</f>
        <v>98</v>
      </c>
    </row>
    <row r="21" spans="2:23">
      <c r="B21" s="701"/>
      <c r="C21" s="383">
        <v>2</v>
      </c>
      <c r="D21" s="384"/>
      <c r="E21" s="385" t="s">
        <v>381</v>
      </c>
      <c r="F21" s="386">
        <v>5</v>
      </c>
      <c r="G21" s="387">
        <v>9</v>
      </c>
      <c r="H21" s="387">
        <v>9</v>
      </c>
      <c r="I21" s="387"/>
      <c r="J21" s="387"/>
      <c r="K21" s="387"/>
      <c r="L21" s="387"/>
      <c r="M21" s="387"/>
      <c r="N21" s="387"/>
      <c r="O21" s="387"/>
      <c r="P21" s="387"/>
      <c r="Q21" s="387"/>
      <c r="R21" s="387"/>
      <c r="S21" s="387"/>
      <c r="T21" s="388"/>
      <c r="U21" s="389">
        <v>1</v>
      </c>
      <c r="V21" s="390" t="s">
        <v>363</v>
      </c>
      <c r="W21" s="382">
        <f t="shared" ref="W21:W23" si="0">SUMPRODUCT(F21:T21,$F$17:$T$17)</f>
        <v>122</v>
      </c>
    </row>
    <row r="22" spans="2:23">
      <c r="B22" s="701"/>
      <c r="C22" s="383">
        <v>3</v>
      </c>
      <c r="D22" s="384" t="s">
        <v>370</v>
      </c>
      <c r="E22" s="385" t="s">
        <v>382</v>
      </c>
      <c r="F22" s="386">
        <v>1</v>
      </c>
      <c r="G22" s="387">
        <v>9</v>
      </c>
      <c r="H22" s="387">
        <v>9</v>
      </c>
      <c r="I22" s="387"/>
      <c r="J22" s="387"/>
      <c r="K22" s="387"/>
      <c r="L22" s="387"/>
      <c r="M22" s="387"/>
      <c r="N22" s="387"/>
      <c r="O22" s="387"/>
      <c r="P22" s="387"/>
      <c r="Q22" s="387"/>
      <c r="R22" s="387"/>
      <c r="S22" s="387"/>
      <c r="T22" s="388"/>
      <c r="U22" s="389">
        <v>3</v>
      </c>
      <c r="V22" s="390" t="s">
        <v>363</v>
      </c>
      <c r="W22" s="382">
        <f t="shared" si="0"/>
        <v>82</v>
      </c>
    </row>
    <row r="23" spans="2:23">
      <c r="B23" s="701"/>
      <c r="C23" s="383">
        <v>4</v>
      </c>
      <c r="D23" s="384"/>
      <c r="E23" s="385" t="s">
        <v>383</v>
      </c>
      <c r="F23" s="386">
        <v>1</v>
      </c>
      <c r="G23" s="387">
        <v>9</v>
      </c>
      <c r="H23" s="387">
        <v>5</v>
      </c>
      <c r="I23" s="387"/>
      <c r="J23" s="387"/>
      <c r="K23" s="387"/>
      <c r="L23" s="387"/>
      <c r="M23" s="387"/>
      <c r="N23" s="387"/>
      <c r="O23" s="387"/>
      <c r="P23" s="387"/>
      <c r="Q23" s="387"/>
      <c r="R23" s="387"/>
      <c r="S23" s="387"/>
      <c r="T23" s="388"/>
      <c r="U23" s="389">
        <v>4</v>
      </c>
      <c r="V23" s="390" t="s">
        <v>363</v>
      </c>
      <c r="W23" s="382">
        <f t="shared" si="0"/>
        <v>70</v>
      </c>
    </row>
    <row r="24" spans="2:23">
      <c r="B24" s="701"/>
      <c r="C24" s="383">
        <v>5</v>
      </c>
      <c r="D24" s="384"/>
      <c r="E24" s="385"/>
      <c r="F24" s="386"/>
      <c r="G24" s="387"/>
      <c r="H24" s="387"/>
      <c r="I24" s="387"/>
      <c r="J24" s="387"/>
      <c r="K24" s="387"/>
      <c r="L24" s="387"/>
      <c r="M24" s="387"/>
      <c r="N24" s="387"/>
      <c r="O24" s="387"/>
      <c r="P24" s="387"/>
      <c r="Q24" s="387"/>
      <c r="R24" s="387"/>
      <c r="S24" s="387"/>
      <c r="T24" s="388"/>
      <c r="U24" s="389" t="s">
        <v>363</v>
      </c>
      <c r="V24" s="390" t="s">
        <v>363</v>
      </c>
      <c r="W24" s="391" t="s">
        <v>363</v>
      </c>
    </row>
    <row r="25" spans="2:23">
      <c r="B25" s="701"/>
      <c r="C25" s="383">
        <v>6</v>
      </c>
      <c r="D25" s="384"/>
      <c r="E25" s="385"/>
      <c r="F25" s="386"/>
      <c r="G25" s="387"/>
      <c r="H25" s="387"/>
      <c r="I25" s="387"/>
      <c r="J25" s="387"/>
      <c r="K25" s="387"/>
      <c r="L25" s="387"/>
      <c r="M25" s="387"/>
      <c r="N25" s="387"/>
      <c r="O25" s="387"/>
      <c r="P25" s="387"/>
      <c r="Q25" s="387"/>
      <c r="R25" s="387"/>
      <c r="S25" s="387"/>
      <c r="T25" s="388"/>
      <c r="U25" s="389" t="s">
        <v>363</v>
      </c>
      <c r="V25" s="390" t="s">
        <v>363</v>
      </c>
      <c r="W25" s="391" t="s">
        <v>363</v>
      </c>
    </row>
    <row r="26" spans="2:23">
      <c r="B26" s="701"/>
      <c r="C26" s="383">
        <v>7</v>
      </c>
      <c r="D26" s="384"/>
      <c r="E26" s="385"/>
      <c r="F26" s="386"/>
      <c r="G26" s="387"/>
      <c r="H26" s="387"/>
      <c r="I26" s="387"/>
      <c r="J26" s="387"/>
      <c r="K26" s="387"/>
      <c r="L26" s="387"/>
      <c r="M26" s="387"/>
      <c r="N26" s="387"/>
      <c r="O26" s="387"/>
      <c r="P26" s="387"/>
      <c r="Q26" s="387"/>
      <c r="R26" s="387"/>
      <c r="S26" s="387"/>
      <c r="T26" s="388"/>
      <c r="U26" s="389" t="s">
        <v>363</v>
      </c>
      <c r="V26" s="390" t="s">
        <v>363</v>
      </c>
      <c r="W26" s="391" t="s">
        <v>363</v>
      </c>
    </row>
    <row r="27" spans="2:23">
      <c r="B27" s="701"/>
      <c r="C27" s="383">
        <v>8</v>
      </c>
      <c r="D27" s="384"/>
      <c r="E27" s="385"/>
      <c r="F27" s="386"/>
      <c r="G27" s="387"/>
      <c r="H27" s="387"/>
      <c r="I27" s="387"/>
      <c r="J27" s="387"/>
      <c r="K27" s="387"/>
      <c r="L27" s="387"/>
      <c r="M27" s="387"/>
      <c r="N27" s="387"/>
      <c r="O27" s="387"/>
      <c r="P27" s="387"/>
      <c r="Q27" s="387"/>
      <c r="R27" s="387"/>
      <c r="S27" s="387"/>
      <c r="T27" s="388"/>
      <c r="U27" s="389" t="s">
        <v>363</v>
      </c>
      <c r="V27" s="390" t="s">
        <v>363</v>
      </c>
      <c r="W27" s="391" t="s">
        <v>363</v>
      </c>
    </row>
    <row r="28" spans="2:23">
      <c r="B28" s="701"/>
      <c r="C28" s="383">
        <v>9</v>
      </c>
      <c r="D28" s="384"/>
      <c r="E28" s="385"/>
      <c r="F28" s="386"/>
      <c r="G28" s="387"/>
      <c r="H28" s="387"/>
      <c r="I28" s="387"/>
      <c r="J28" s="387"/>
      <c r="K28" s="387"/>
      <c r="L28" s="387"/>
      <c r="M28" s="387"/>
      <c r="N28" s="387"/>
      <c r="O28" s="387"/>
      <c r="P28" s="387"/>
      <c r="Q28" s="387"/>
      <c r="R28" s="387"/>
      <c r="S28" s="387"/>
      <c r="T28" s="388"/>
      <c r="U28" s="389" t="s">
        <v>363</v>
      </c>
      <c r="V28" s="390" t="s">
        <v>363</v>
      </c>
      <c r="W28" s="391" t="s">
        <v>363</v>
      </c>
    </row>
    <row r="29" spans="2:23">
      <c r="B29" s="701"/>
      <c r="C29" s="383">
        <v>10</v>
      </c>
      <c r="D29" s="384"/>
      <c r="E29" s="385"/>
      <c r="F29" s="386"/>
      <c r="G29" s="387"/>
      <c r="H29" s="387"/>
      <c r="I29" s="387"/>
      <c r="J29" s="387"/>
      <c r="K29" s="387"/>
      <c r="L29" s="387"/>
      <c r="M29" s="387"/>
      <c r="N29" s="387"/>
      <c r="O29" s="387"/>
      <c r="P29" s="387"/>
      <c r="Q29" s="387"/>
      <c r="R29" s="387"/>
      <c r="S29" s="387"/>
      <c r="T29" s="388"/>
      <c r="U29" s="389" t="s">
        <v>363</v>
      </c>
      <c r="V29" s="390" t="s">
        <v>363</v>
      </c>
      <c r="W29" s="391" t="s">
        <v>363</v>
      </c>
    </row>
    <row r="30" spans="2:23">
      <c r="B30" s="701"/>
      <c r="C30" s="383">
        <v>11</v>
      </c>
      <c r="D30" s="384"/>
      <c r="E30" s="385"/>
      <c r="F30" s="386"/>
      <c r="G30" s="387"/>
      <c r="H30" s="387"/>
      <c r="I30" s="387"/>
      <c r="J30" s="387"/>
      <c r="K30" s="387"/>
      <c r="L30" s="387"/>
      <c r="M30" s="387"/>
      <c r="N30" s="387"/>
      <c r="O30" s="387"/>
      <c r="P30" s="387"/>
      <c r="Q30" s="387"/>
      <c r="R30" s="387"/>
      <c r="S30" s="387"/>
      <c r="T30" s="388"/>
      <c r="U30" s="389" t="s">
        <v>363</v>
      </c>
      <c r="V30" s="390" t="s">
        <v>363</v>
      </c>
      <c r="W30" s="391" t="s">
        <v>363</v>
      </c>
    </row>
    <row r="31" spans="2:23">
      <c r="B31" s="701"/>
      <c r="C31" s="383">
        <v>12</v>
      </c>
      <c r="D31" s="384"/>
      <c r="E31" s="385"/>
      <c r="F31" s="386"/>
      <c r="G31" s="387"/>
      <c r="H31" s="387"/>
      <c r="I31" s="387"/>
      <c r="J31" s="387"/>
      <c r="K31" s="387"/>
      <c r="L31" s="387"/>
      <c r="M31" s="387"/>
      <c r="N31" s="387"/>
      <c r="O31" s="387"/>
      <c r="P31" s="387"/>
      <c r="Q31" s="387"/>
      <c r="R31" s="387"/>
      <c r="S31" s="387"/>
      <c r="T31" s="388"/>
      <c r="U31" s="389" t="s">
        <v>363</v>
      </c>
      <c r="V31" s="390" t="s">
        <v>363</v>
      </c>
      <c r="W31" s="391" t="s">
        <v>363</v>
      </c>
    </row>
    <row r="32" spans="2:23">
      <c r="B32" s="701"/>
      <c r="C32" s="383">
        <v>13</v>
      </c>
      <c r="D32" s="384"/>
      <c r="E32" s="385"/>
      <c r="F32" s="386"/>
      <c r="G32" s="387"/>
      <c r="H32" s="387"/>
      <c r="I32" s="387"/>
      <c r="J32" s="387"/>
      <c r="K32" s="387"/>
      <c r="L32" s="387"/>
      <c r="M32" s="387"/>
      <c r="N32" s="387"/>
      <c r="O32" s="387"/>
      <c r="P32" s="387"/>
      <c r="Q32" s="387"/>
      <c r="R32" s="387"/>
      <c r="S32" s="387"/>
      <c r="T32" s="388"/>
      <c r="U32" s="389" t="s">
        <v>363</v>
      </c>
      <c r="V32" s="390" t="s">
        <v>363</v>
      </c>
      <c r="W32" s="391" t="s">
        <v>363</v>
      </c>
    </row>
    <row r="33" spans="2:23">
      <c r="B33" s="701"/>
      <c r="C33" s="383">
        <v>14</v>
      </c>
      <c r="D33" s="384"/>
      <c r="E33" s="385"/>
      <c r="F33" s="386"/>
      <c r="G33" s="387"/>
      <c r="H33" s="387"/>
      <c r="I33" s="387"/>
      <c r="J33" s="387"/>
      <c r="K33" s="387"/>
      <c r="L33" s="387"/>
      <c r="M33" s="387"/>
      <c r="N33" s="387"/>
      <c r="O33" s="387"/>
      <c r="P33" s="387"/>
      <c r="Q33" s="387"/>
      <c r="R33" s="387"/>
      <c r="S33" s="387"/>
      <c r="T33" s="388"/>
      <c r="U33" s="389" t="s">
        <v>363</v>
      </c>
      <c r="V33" s="390" t="s">
        <v>363</v>
      </c>
      <c r="W33" s="391" t="s">
        <v>363</v>
      </c>
    </row>
    <row r="34" spans="2:23">
      <c r="B34" s="701"/>
      <c r="C34" s="383">
        <v>15</v>
      </c>
      <c r="D34" s="384"/>
      <c r="E34" s="385"/>
      <c r="F34" s="386"/>
      <c r="G34" s="387"/>
      <c r="H34" s="387"/>
      <c r="I34" s="387"/>
      <c r="J34" s="387"/>
      <c r="K34" s="387"/>
      <c r="L34" s="387"/>
      <c r="M34" s="387"/>
      <c r="N34" s="387"/>
      <c r="O34" s="387"/>
      <c r="P34" s="387"/>
      <c r="Q34" s="387"/>
      <c r="R34" s="387"/>
      <c r="S34" s="387"/>
      <c r="T34" s="388"/>
      <c r="U34" s="389" t="s">
        <v>363</v>
      </c>
      <c r="V34" s="390" t="s">
        <v>363</v>
      </c>
      <c r="W34" s="391" t="s">
        <v>363</v>
      </c>
    </row>
    <row r="35" spans="2:23">
      <c r="B35" s="701"/>
      <c r="C35" s="383">
        <v>16</v>
      </c>
      <c r="D35" s="384"/>
      <c r="E35" s="385"/>
      <c r="F35" s="386"/>
      <c r="G35" s="387"/>
      <c r="H35" s="387"/>
      <c r="I35" s="387"/>
      <c r="J35" s="387"/>
      <c r="K35" s="387"/>
      <c r="L35" s="387"/>
      <c r="M35" s="387"/>
      <c r="N35" s="387"/>
      <c r="O35" s="387"/>
      <c r="P35" s="387"/>
      <c r="Q35" s="387"/>
      <c r="R35" s="387"/>
      <c r="S35" s="387"/>
      <c r="T35" s="388"/>
      <c r="U35" s="389" t="s">
        <v>363</v>
      </c>
      <c r="V35" s="390" t="s">
        <v>363</v>
      </c>
      <c r="W35" s="391" t="s">
        <v>363</v>
      </c>
    </row>
    <row r="36" spans="2:23">
      <c r="B36" s="701"/>
      <c r="C36" s="383">
        <v>17</v>
      </c>
      <c r="D36" s="384"/>
      <c r="E36" s="385"/>
      <c r="F36" s="386"/>
      <c r="G36" s="387"/>
      <c r="H36" s="387"/>
      <c r="I36" s="387"/>
      <c r="J36" s="387"/>
      <c r="K36" s="387"/>
      <c r="L36" s="387"/>
      <c r="M36" s="387"/>
      <c r="N36" s="387"/>
      <c r="O36" s="387"/>
      <c r="P36" s="387"/>
      <c r="Q36" s="387"/>
      <c r="R36" s="387"/>
      <c r="S36" s="387"/>
      <c r="T36" s="388"/>
      <c r="U36" s="389" t="s">
        <v>363</v>
      </c>
      <c r="V36" s="390" t="s">
        <v>363</v>
      </c>
      <c r="W36" s="391" t="s">
        <v>363</v>
      </c>
    </row>
    <row r="37" spans="2:23">
      <c r="B37" s="701"/>
      <c r="C37" s="383">
        <v>18</v>
      </c>
      <c r="D37" s="384"/>
      <c r="E37" s="385"/>
      <c r="F37" s="386"/>
      <c r="G37" s="387"/>
      <c r="H37" s="387"/>
      <c r="I37" s="387"/>
      <c r="J37" s="387"/>
      <c r="K37" s="387"/>
      <c r="L37" s="387"/>
      <c r="M37" s="387"/>
      <c r="N37" s="387"/>
      <c r="O37" s="387"/>
      <c r="P37" s="387"/>
      <c r="Q37" s="387"/>
      <c r="R37" s="387"/>
      <c r="S37" s="387"/>
      <c r="T37" s="388"/>
      <c r="U37" s="389" t="s">
        <v>363</v>
      </c>
      <c r="V37" s="390" t="s">
        <v>363</v>
      </c>
      <c r="W37" s="391" t="s">
        <v>363</v>
      </c>
    </row>
    <row r="38" spans="2:23">
      <c r="B38" s="701"/>
      <c r="C38" s="383">
        <v>19</v>
      </c>
      <c r="D38" s="384"/>
      <c r="E38" s="385"/>
      <c r="F38" s="386"/>
      <c r="G38" s="387"/>
      <c r="H38" s="387"/>
      <c r="I38" s="387"/>
      <c r="J38" s="387"/>
      <c r="K38" s="387"/>
      <c r="L38" s="387"/>
      <c r="M38" s="387"/>
      <c r="N38" s="387"/>
      <c r="O38" s="387"/>
      <c r="P38" s="387"/>
      <c r="Q38" s="387"/>
      <c r="R38" s="387"/>
      <c r="S38" s="387"/>
      <c r="T38" s="388"/>
      <c r="U38" s="389" t="s">
        <v>363</v>
      </c>
      <c r="V38" s="390" t="s">
        <v>363</v>
      </c>
      <c r="W38" s="391" t="s">
        <v>363</v>
      </c>
    </row>
    <row r="39" spans="2:23">
      <c r="B39" s="702"/>
      <c r="C39" s="392">
        <v>20</v>
      </c>
      <c r="D39" s="393"/>
      <c r="E39" s="394"/>
      <c r="F39" s="395"/>
      <c r="G39" s="396"/>
      <c r="H39" s="396"/>
      <c r="I39" s="396"/>
      <c r="J39" s="396"/>
      <c r="K39" s="396"/>
      <c r="L39" s="396"/>
      <c r="M39" s="396"/>
      <c r="N39" s="396"/>
      <c r="O39" s="396"/>
      <c r="P39" s="396"/>
      <c r="Q39" s="396"/>
      <c r="R39" s="396"/>
      <c r="S39" s="396"/>
      <c r="T39" s="397"/>
      <c r="U39" s="398" t="s">
        <v>363</v>
      </c>
      <c r="V39" s="399" t="s">
        <v>363</v>
      </c>
      <c r="W39" s="400" t="s">
        <v>363</v>
      </c>
    </row>
    <row r="40" spans="2:23">
      <c r="B40" s="345"/>
      <c r="C40" s="345"/>
      <c r="D40" s="345"/>
      <c r="E40" s="401" t="s">
        <v>371</v>
      </c>
      <c r="F40" s="402">
        <v>0</v>
      </c>
      <c r="G40" s="403">
        <v>0</v>
      </c>
      <c r="H40" s="403">
        <v>0</v>
      </c>
      <c r="I40" s="403">
        <v>0</v>
      </c>
      <c r="J40" s="403">
        <v>0</v>
      </c>
      <c r="K40" s="403" t="s">
        <v>363</v>
      </c>
      <c r="L40" s="403" t="s">
        <v>363</v>
      </c>
      <c r="M40" s="403" t="s">
        <v>363</v>
      </c>
      <c r="N40" s="403" t="s">
        <v>363</v>
      </c>
      <c r="O40" s="403" t="s">
        <v>363</v>
      </c>
      <c r="P40" s="403" t="s">
        <v>363</v>
      </c>
      <c r="Q40" s="403" t="s">
        <v>363</v>
      </c>
      <c r="R40" s="403" t="s">
        <v>363</v>
      </c>
      <c r="S40" s="403" t="s">
        <v>363</v>
      </c>
      <c r="T40" s="404" t="s">
        <v>363</v>
      </c>
      <c r="U40" s="405"/>
      <c r="V40" s="345"/>
      <c r="W40" s="345"/>
    </row>
    <row r="41" spans="2:23">
      <c r="B41" s="345"/>
      <c r="C41" s="345"/>
      <c r="D41" s="345"/>
      <c r="E41" s="401" t="s">
        <v>372</v>
      </c>
      <c r="F41" s="422">
        <v>0</v>
      </c>
      <c r="G41" s="423">
        <v>0</v>
      </c>
      <c r="H41" s="423">
        <v>0</v>
      </c>
      <c r="I41" s="423">
        <v>0</v>
      </c>
      <c r="J41" s="423">
        <v>0</v>
      </c>
      <c r="K41" s="423" t="s">
        <v>363</v>
      </c>
      <c r="L41" s="423" t="s">
        <v>363</v>
      </c>
      <c r="M41" s="423" t="s">
        <v>363</v>
      </c>
      <c r="N41" s="423" t="s">
        <v>363</v>
      </c>
      <c r="O41" s="423" t="s">
        <v>363</v>
      </c>
      <c r="P41" s="423" t="s">
        <v>363</v>
      </c>
      <c r="Q41" s="423" t="s">
        <v>363</v>
      </c>
      <c r="R41" s="423" t="s">
        <v>363</v>
      </c>
      <c r="S41" s="423" t="s">
        <v>363</v>
      </c>
      <c r="T41" s="424" t="s">
        <v>363</v>
      </c>
      <c r="U41" s="405"/>
      <c r="V41" s="345"/>
      <c r="W41" s="345"/>
    </row>
    <row r="42" spans="2:23">
      <c r="B42" s="345"/>
      <c r="C42" s="345"/>
      <c r="D42" s="345"/>
      <c r="E42" s="401" t="s">
        <v>373</v>
      </c>
      <c r="F42" s="406">
        <v>1</v>
      </c>
      <c r="G42" s="407">
        <v>1</v>
      </c>
      <c r="H42" s="407">
        <v>1</v>
      </c>
      <c r="I42" s="407">
        <v>1</v>
      </c>
      <c r="J42" s="407">
        <v>1</v>
      </c>
      <c r="K42" s="407" t="s">
        <v>363</v>
      </c>
      <c r="L42" s="407" t="s">
        <v>363</v>
      </c>
      <c r="M42" s="407" t="s">
        <v>363</v>
      </c>
      <c r="N42" s="407" t="s">
        <v>363</v>
      </c>
      <c r="O42" s="407" t="s">
        <v>363</v>
      </c>
      <c r="P42" s="407" t="s">
        <v>363</v>
      </c>
      <c r="Q42" s="407" t="s">
        <v>363</v>
      </c>
      <c r="R42" s="407" t="s">
        <v>363</v>
      </c>
      <c r="S42" s="407" t="s">
        <v>363</v>
      </c>
      <c r="T42" s="408" t="s">
        <v>363</v>
      </c>
      <c r="U42" s="405"/>
      <c r="V42" s="345"/>
      <c r="W42" s="345"/>
    </row>
    <row r="43" spans="2:23" ht="15.75">
      <c r="B43" s="345"/>
      <c r="C43" s="345"/>
      <c r="D43" s="345"/>
      <c r="E43" s="401" t="s">
        <v>374</v>
      </c>
      <c r="F43" s="409">
        <v>30</v>
      </c>
      <c r="G43" s="410">
        <v>2</v>
      </c>
      <c r="H43" s="410" t="s">
        <v>384</v>
      </c>
      <c r="I43" s="410"/>
      <c r="J43" s="410"/>
      <c r="K43" s="410"/>
      <c r="L43" s="410"/>
      <c r="M43" s="410"/>
      <c r="N43" s="410"/>
      <c r="O43" s="410"/>
      <c r="P43" s="410"/>
      <c r="Q43" s="410"/>
      <c r="R43" s="410"/>
      <c r="S43" s="411"/>
      <c r="T43" s="412"/>
      <c r="U43" s="345"/>
      <c r="V43" s="345"/>
      <c r="W43" s="345"/>
    </row>
    <row r="44" spans="2:23" ht="15.75">
      <c r="B44" s="345"/>
      <c r="C44" s="345"/>
      <c r="D44" s="345"/>
      <c r="E44" s="401" t="s">
        <v>375</v>
      </c>
      <c r="F44" s="413">
        <v>25</v>
      </c>
      <c r="G44" s="414">
        <v>1</v>
      </c>
      <c r="H44" s="414" t="s">
        <v>385</v>
      </c>
      <c r="I44" s="414"/>
      <c r="J44" s="414"/>
      <c r="K44" s="414"/>
      <c r="L44" s="414"/>
      <c r="M44" s="414"/>
      <c r="N44" s="414"/>
      <c r="O44" s="414"/>
      <c r="P44" s="414"/>
      <c r="Q44" s="414"/>
      <c r="R44" s="414"/>
      <c r="S44" s="415"/>
      <c r="T44" s="416"/>
      <c r="U44" s="345"/>
      <c r="V44" s="345"/>
      <c r="W44" s="345"/>
    </row>
    <row r="45" spans="2:23" ht="15.75">
      <c r="B45" s="345"/>
      <c r="C45" s="345"/>
      <c r="D45" s="345"/>
      <c r="E45" s="401" t="s">
        <v>376</v>
      </c>
      <c r="F45" s="417">
        <v>35</v>
      </c>
      <c r="G45" s="418">
        <v>3</v>
      </c>
      <c r="H45" s="418" t="s">
        <v>386</v>
      </c>
      <c r="I45" s="418"/>
      <c r="J45" s="418"/>
      <c r="K45" s="418"/>
      <c r="L45" s="418"/>
      <c r="M45" s="418"/>
      <c r="N45" s="418"/>
      <c r="O45" s="418"/>
      <c r="P45" s="418"/>
      <c r="Q45" s="418"/>
      <c r="R45" s="418"/>
      <c r="S45" s="419"/>
      <c r="T45" s="420"/>
      <c r="U45" s="345"/>
      <c r="V45" s="345"/>
      <c r="W45" s="345"/>
    </row>
  </sheetData>
  <mergeCells count="2">
    <mergeCell ref="F15:T15"/>
    <mergeCell ref="B20:B39"/>
  </mergeCells>
  <hyperlinks>
    <hyperlink ref="U2" r:id="rId1"/>
    <hyperlink ref="X2" r:id="rId2"/>
    <hyperlink ref="X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2"/>
  <sheetViews>
    <sheetView topLeftCell="A25" workbookViewId="0">
      <selection activeCell="B48" sqref="B48"/>
    </sheetView>
  </sheetViews>
  <sheetFormatPr defaultRowHeight="15"/>
  <cols>
    <col min="1" max="1" width="7.5703125" customWidth="1"/>
    <col min="2" max="2" width="4.85546875" customWidth="1"/>
    <col min="3" max="12" width="6.28515625" customWidth="1"/>
    <col min="13" max="13" width="5.28515625" customWidth="1"/>
    <col min="15" max="21" width="7.7109375" customWidth="1"/>
    <col min="22" max="22" width="9.28515625" customWidth="1"/>
    <col min="23" max="23" width="8.28515625" customWidth="1"/>
    <col min="24" max="25" width="9.28515625" customWidth="1"/>
    <col min="257" max="257" width="7.5703125" customWidth="1"/>
    <col min="258" max="258" width="4.85546875" customWidth="1"/>
    <col min="259" max="268" width="6.28515625" customWidth="1"/>
    <col min="269" max="269" width="5.28515625" customWidth="1"/>
    <col min="271" max="277" width="7.7109375" customWidth="1"/>
    <col min="278" max="278" width="9.28515625" customWidth="1"/>
    <col min="279" max="279" width="8.28515625" customWidth="1"/>
    <col min="280" max="281" width="9.28515625" customWidth="1"/>
    <col min="513" max="513" width="7.5703125" customWidth="1"/>
    <col min="514" max="514" width="4.85546875" customWidth="1"/>
    <col min="515" max="524" width="6.28515625" customWidth="1"/>
    <col min="525" max="525" width="5.28515625" customWidth="1"/>
    <col min="527" max="533" width="7.7109375" customWidth="1"/>
    <col min="534" max="534" width="9.28515625" customWidth="1"/>
    <col min="535" max="535" width="8.28515625" customWidth="1"/>
    <col min="536" max="537" width="9.28515625" customWidth="1"/>
    <col min="769" max="769" width="7.5703125" customWidth="1"/>
    <col min="770" max="770" width="4.85546875" customWidth="1"/>
    <col min="771" max="780" width="6.28515625" customWidth="1"/>
    <col min="781" max="781" width="5.28515625" customWidth="1"/>
    <col min="783" max="789" width="7.7109375" customWidth="1"/>
    <col min="790" max="790" width="9.28515625" customWidth="1"/>
    <col min="791" max="791" width="8.28515625" customWidth="1"/>
    <col min="792" max="793" width="9.28515625" customWidth="1"/>
    <col min="1025" max="1025" width="7.5703125" customWidth="1"/>
    <col min="1026" max="1026" width="4.85546875" customWidth="1"/>
    <col min="1027" max="1036" width="6.28515625" customWidth="1"/>
    <col min="1037" max="1037" width="5.28515625" customWidth="1"/>
    <col min="1039" max="1045" width="7.7109375" customWidth="1"/>
    <col min="1046" max="1046" width="9.28515625" customWidth="1"/>
    <col min="1047" max="1047" width="8.28515625" customWidth="1"/>
    <col min="1048" max="1049" width="9.28515625" customWidth="1"/>
    <col min="1281" max="1281" width="7.5703125" customWidth="1"/>
    <col min="1282" max="1282" width="4.85546875" customWidth="1"/>
    <col min="1283" max="1292" width="6.28515625" customWidth="1"/>
    <col min="1293" max="1293" width="5.28515625" customWidth="1"/>
    <col min="1295" max="1301" width="7.7109375" customWidth="1"/>
    <col min="1302" max="1302" width="9.28515625" customWidth="1"/>
    <col min="1303" max="1303" width="8.28515625" customWidth="1"/>
    <col min="1304" max="1305" width="9.28515625" customWidth="1"/>
    <col min="1537" max="1537" width="7.5703125" customWidth="1"/>
    <col min="1538" max="1538" width="4.85546875" customWidth="1"/>
    <col min="1539" max="1548" width="6.28515625" customWidth="1"/>
    <col min="1549" max="1549" width="5.28515625" customWidth="1"/>
    <col min="1551" max="1557" width="7.7109375" customWidth="1"/>
    <col min="1558" max="1558" width="9.28515625" customWidth="1"/>
    <col min="1559" max="1559" width="8.28515625" customWidth="1"/>
    <col min="1560" max="1561" width="9.28515625" customWidth="1"/>
    <col min="1793" max="1793" width="7.5703125" customWidth="1"/>
    <col min="1794" max="1794" width="4.85546875" customWidth="1"/>
    <col min="1795" max="1804" width="6.28515625" customWidth="1"/>
    <col min="1805" max="1805" width="5.28515625" customWidth="1"/>
    <col min="1807" max="1813" width="7.7109375" customWidth="1"/>
    <col min="1814" max="1814" width="9.28515625" customWidth="1"/>
    <col min="1815" max="1815" width="8.28515625" customWidth="1"/>
    <col min="1816" max="1817" width="9.28515625" customWidth="1"/>
    <col min="2049" max="2049" width="7.5703125" customWidth="1"/>
    <col min="2050" max="2050" width="4.85546875" customWidth="1"/>
    <col min="2051" max="2060" width="6.28515625" customWidth="1"/>
    <col min="2061" max="2061" width="5.28515625" customWidth="1"/>
    <col min="2063" max="2069" width="7.7109375" customWidth="1"/>
    <col min="2070" max="2070" width="9.28515625" customWidth="1"/>
    <col min="2071" max="2071" width="8.28515625" customWidth="1"/>
    <col min="2072" max="2073" width="9.28515625" customWidth="1"/>
    <col min="2305" max="2305" width="7.5703125" customWidth="1"/>
    <col min="2306" max="2306" width="4.85546875" customWidth="1"/>
    <col min="2307" max="2316" width="6.28515625" customWidth="1"/>
    <col min="2317" max="2317" width="5.28515625" customWidth="1"/>
    <col min="2319" max="2325" width="7.7109375" customWidth="1"/>
    <col min="2326" max="2326" width="9.28515625" customWidth="1"/>
    <col min="2327" max="2327" width="8.28515625" customWidth="1"/>
    <col min="2328" max="2329" width="9.28515625" customWidth="1"/>
    <col min="2561" max="2561" width="7.5703125" customWidth="1"/>
    <col min="2562" max="2562" width="4.85546875" customWidth="1"/>
    <col min="2563" max="2572" width="6.28515625" customWidth="1"/>
    <col min="2573" max="2573" width="5.28515625" customWidth="1"/>
    <col min="2575" max="2581" width="7.7109375" customWidth="1"/>
    <col min="2582" max="2582" width="9.28515625" customWidth="1"/>
    <col min="2583" max="2583" width="8.28515625" customWidth="1"/>
    <col min="2584" max="2585" width="9.28515625" customWidth="1"/>
    <col min="2817" max="2817" width="7.5703125" customWidth="1"/>
    <col min="2818" max="2818" width="4.85546875" customWidth="1"/>
    <col min="2819" max="2828" width="6.28515625" customWidth="1"/>
    <col min="2829" max="2829" width="5.28515625" customWidth="1"/>
    <col min="2831" max="2837" width="7.7109375" customWidth="1"/>
    <col min="2838" max="2838" width="9.28515625" customWidth="1"/>
    <col min="2839" max="2839" width="8.28515625" customWidth="1"/>
    <col min="2840" max="2841" width="9.28515625" customWidth="1"/>
    <col min="3073" max="3073" width="7.5703125" customWidth="1"/>
    <col min="3074" max="3074" width="4.85546875" customWidth="1"/>
    <col min="3075" max="3084" width="6.28515625" customWidth="1"/>
    <col min="3085" max="3085" width="5.28515625" customWidth="1"/>
    <col min="3087" max="3093" width="7.7109375" customWidth="1"/>
    <col min="3094" max="3094" width="9.28515625" customWidth="1"/>
    <col min="3095" max="3095" width="8.28515625" customWidth="1"/>
    <col min="3096" max="3097" width="9.28515625" customWidth="1"/>
    <col min="3329" max="3329" width="7.5703125" customWidth="1"/>
    <col min="3330" max="3330" width="4.85546875" customWidth="1"/>
    <col min="3331" max="3340" width="6.28515625" customWidth="1"/>
    <col min="3341" max="3341" width="5.28515625" customWidth="1"/>
    <col min="3343" max="3349" width="7.7109375" customWidth="1"/>
    <col min="3350" max="3350" width="9.28515625" customWidth="1"/>
    <col min="3351" max="3351" width="8.28515625" customWidth="1"/>
    <col min="3352" max="3353" width="9.28515625" customWidth="1"/>
    <col min="3585" max="3585" width="7.5703125" customWidth="1"/>
    <col min="3586" max="3586" width="4.85546875" customWidth="1"/>
    <col min="3587" max="3596" width="6.28515625" customWidth="1"/>
    <col min="3597" max="3597" width="5.28515625" customWidth="1"/>
    <col min="3599" max="3605" width="7.7109375" customWidth="1"/>
    <col min="3606" max="3606" width="9.28515625" customWidth="1"/>
    <col min="3607" max="3607" width="8.28515625" customWidth="1"/>
    <col min="3608" max="3609" width="9.28515625" customWidth="1"/>
    <col min="3841" max="3841" width="7.5703125" customWidth="1"/>
    <col min="3842" max="3842" width="4.85546875" customWidth="1"/>
    <col min="3843" max="3852" width="6.28515625" customWidth="1"/>
    <col min="3853" max="3853" width="5.28515625" customWidth="1"/>
    <col min="3855" max="3861" width="7.7109375" customWidth="1"/>
    <col min="3862" max="3862" width="9.28515625" customWidth="1"/>
    <col min="3863" max="3863" width="8.28515625" customWidth="1"/>
    <col min="3864" max="3865" width="9.28515625" customWidth="1"/>
    <col min="4097" max="4097" width="7.5703125" customWidth="1"/>
    <col min="4098" max="4098" width="4.85546875" customWidth="1"/>
    <col min="4099" max="4108" width="6.28515625" customWidth="1"/>
    <col min="4109" max="4109" width="5.28515625" customWidth="1"/>
    <col min="4111" max="4117" width="7.7109375" customWidth="1"/>
    <col min="4118" max="4118" width="9.28515625" customWidth="1"/>
    <col min="4119" max="4119" width="8.28515625" customWidth="1"/>
    <col min="4120" max="4121" width="9.28515625" customWidth="1"/>
    <col min="4353" max="4353" width="7.5703125" customWidth="1"/>
    <col min="4354" max="4354" width="4.85546875" customWidth="1"/>
    <col min="4355" max="4364" width="6.28515625" customWidth="1"/>
    <col min="4365" max="4365" width="5.28515625" customWidth="1"/>
    <col min="4367" max="4373" width="7.7109375" customWidth="1"/>
    <col min="4374" max="4374" width="9.28515625" customWidth="1"/>
    <col min="4375" max="4375" width="8.28515625" customWidth="1"/>
    <col min="4376" max="4377" width="9.28515625" customWidth="1"/>
    <col min="4609" max="4609" width="7.5703125" customWidth="1"/>
    <col min="4610" max="4610" width="4.85546875" customWidth="1"/>
    <col min="4611" max="4620" width="6.28515625" customWidth="1"/>
    <col min="4621" max="4621" width="5.28515625" customWidth="1"/>
    <col min="4623" max="4629" width="7.7109375" customWidth="1"/>
    <col min="4630" max="4630" width="9.28515625" customWidth="1"/>
    <col min="4631" max="4631" width="8.28515625" customWidth="1"/>
    <col min="4632" max="4633" width="9.28515625" customWidth="1"/>
    <col min="4865" max="4865" width="7.5703125" customWidth="1"/>
    <col min="4866" max="4866" width="4.85546875" customWidth="1"/>
    <col min="4867" max="4876" width="6.28515625" customWidth="1"/>
    <col min="4877" max="4877" width="5.28515625" customWidth="1"/>
    <col min="4879" max="4885" width="7.7109375" customWidth="1"/>
    <col min="4886" max="4886" width="9.28515625" customWidth="1"/>
    <col min="4887" max="4887" width="8.28515625" customWidth="1"/>
    <col min="4888" max="4889" width="9.28515625" customWidth="1"/>
    <col min="5121" max="5121" width="7.5703125" customWidth="1"/>
    <col min="5122" max="5122" width="4.85546875" customWidth="1"/>
    <col min="5123" max="5132" width="6.28515625" customWidth="1"/>
    <col min="5133" max="5133" width="5.28515625" customWidth="1"/>
    <col min="5135" max="5141" width="7.7109375" customWidth="1"/>
    <col min="5142" max="5142" width="9.28515625" customWidth="1"/>
    <col min="5143" max="5143" width="8.28515625" customWidth="1"/>
    <col min="5144" max="5145" width="9.28515625" customWidth="1"/>
    <col min="5377" max="5377" width="7.5703125" customWidth="1"/>
    <col min="5378" max="5378" width="4.85546875" customWidth="1"/>
    <col min="5379" max="5388" width="6.28515625" customWidth="1"/>
    <col min="5389" max="5389" width="5.28515625" customWidth="1"/>
    <col min="5391" max="5397" width="7.7109375" customWidth="1"/>
    <col min="5398" max="5398" width="9.28515625" customWidth="1"/>
    <col min="5399" max="5399" width="8.28515625" customWidth="1"/>
    <col min="5400" max="5401" width="9.28515625" customWidth="1"/>
    <col min="5633" max="5633" width="7.5703125" customWidth="1"/>
    <col min="5634" max="5634" width="4.85546875" customWidth="1"/>
    <col min="5635" max="5644" width="6.28515625" customWidth="1"/>
    <col min="5645" max="5645" width="5.28515625" customWidth="1"/>
    <col min="5647" max="5653" width="7.7109375" customWidth="1"/>
    <col min="5654" max="5654" width="9.28515625" customWidth="1"/>
    <col min="5655" max="5655" width="8.28515625" customWidth="1"/>
    <col min="5656" max="5657" width="9.28515625" customWidth="1"/>
    <col min="5889" max="5889" width="7.5703125" customWidth="1"/>
    <col min="5890" max="5890" width="4.85546875" customWidth="1"/>
    <col min="5891" max="5900" width="6.28515625" customWidth="1"/>
    <col min="5901" max="5901" width="5.28515625" customWidth="1"/>
    <col min="5903" max="5909" width="7.7109375" customWidth="1"/>
    <col min="5910" max="5910" width="9.28515625" customWidth="1"/>
    <col min="5911" max="5911" width="8.28515625" customWidth="1"/>
    <col min="5912" max="5913" width="9.28515625" customWidth="1"/>
    <col min="6145" max="6145" width="7.5703125" customWidth="1"/>
    <col min="6146" max="6146" width="4.85546875" customWidth="1"/>
    <col min="6147" max="6156" width="6.28515625" customWidth="1"/>
    <col min="6157" max="6157" width="5.28515625" customWidth="1"/>
    <col min="6159" max="6165" width="7.7109375" customWidth="1"/>
    <col min="6166" max="6166" width="9.28515625" customWidth="1"/>
    <col min="6167" max="6167" width="8.28515625" customWidth="1"/>
    <col min="6168" max="6169" width="9.28515625" customWidth="1"/>
    <col min="6401" max="6401" width="7.5703125" customWidth="1"/>
    <col min="6402" max="6402" width="4.85546875" customWidth="1"/>
    <col min="6403" max="6412" width="6.28515625" customWidth="1"/>
    <col min="6413" max="6413" width="5.28515625" customWidth="1"/>
    <col min="6415" max="6421" width="7.7109375" customWidth="1"/>
    <col min="6422" max="6422" width="9.28515625" customWidth="1"/>
    <col min="6423" max="6423" width="8.28515625" customWidth="1"/>
    <col min="6424" max="6425" width="9.28515625" customWidth="1"/>
    <col min="6657" max="6657" width="7.5703125" customWidth="1"/>
    <col min="6658" max="6658" width="4.85546875" customWidth="1"/>
    <col min="6659" max="6668" width="6.28515625" customWidth="1"/>
    <col min="6669" max="6669" width="5.28515625" customWidth="1"/>
    <col min="6671" max="6677" width="7.7109375" customWidth="1"/>
    <col min="6678" max="6678" width="9.28515625" customWidth="1"/>
    <col min="6679" max="6679" width="8.28515625" customWidth="1"/>
    <col min="6680" max="6681" width="9.28515625" customWidth="1"/>
    <col min="6913" max="6913" width="7.5703125" customWidth="1"/>
    <col min="6914" max="6914" width="4.85546875" customWidth="1"/>
    <col min="6915" max="6924" width="6.28515625" customWidth="1"/>
    <col min="6925" max="6925" width="5.28515625" customWidth="1"/>
    <col min="6927" max="6933" width="7.7109375" customWidth="1"/>
    <col min="6934" max="6934" width="9.28515625" customWidth="1"/>
    <col min="6935" max="6935" width="8.28515625" customWidth="1"/>
    <col min="6936" max="6937" width="9.28515625" customWidth="1"/>
    <col min="7169" max="7169" width="7.5703125" customWidth="1"/>
    <col min="7170" max="7170" width="4.85546875" customWidth="1"/>
    <col min="7171" max="7180" width="6.28515625" customWidth="1"/>
    <col min="7181" max="7181" width="5.28515625" customWidth="1"/>
    <col min="7183" max="7189" width="7.7109375" customWidth="1"/>
    <col min="7190" max="7190" width="9.28515625" customWidth="1"/>
    <col min="7191" max="7191" width="8.28515625" customWidth="1"/>
    <col min="7192" max="7193" width="9.28515625" customWidth="1"/>
    <col min="7425" max="7425" width="7.5703125" customWidth="1"/>
    <col min="7426" max="7426" width="4.85546875" customWidth="1"/>
    <col min="7427" max="7436" width="6.28515625" customWidth="1"/>
    <col min="7437" max="7437" width="5.28515625" customWidth="1"/>
    <col min="7439" max="7445" width="7.7109375" customWidth="1"/>
    <col min="7446" max="7446" width="9.28515625" customWidth="1"/>
    <col min="7447" max="7447" width="8.28515625" customWidth="1"/>
    <col min="7448" max="7449" width="9.28515625" customWidth="1"/>
    <col min="7681" max="7681" width="7.5703125" customWidth="1"/>
    <col min="7682" max="7682" width="4.85546875" customWidth="1"/>
    <col min="7683" max="7692" width="6.28515625" customWidth="1"/>
    <col min="7693" max="7693" width="5.28515625" customWidth="1"/>
    <col min="7695" max="7701" width="7.7109375" customWidth="1"/>
    <col min="7702" max="7702" width="9.28515625" customWidth="1"/>
    <col min="7703" max="7703" width="8.28515625" customWidth="1"/>
    <col min="7704" max="7705" width="9.28515625" customWidth="1"/>
    <col min="7937" max="7937" width="7.5703125" customWidth="1"/>
    <col min="7938" max="7938" width="4.85546875" customWidth="1"/>
    <col min="7939" max="7948" width="6.28515625" customWidth="1"/>
    <col min="7949" max="7949" width="5.28515625" customWidth="1"/>
    <col min="7951" max="7957" width="7.7109375" customWidth="1"/>
    <col min="7958" max="7958" width="9.28515625" customWidth="1"/>
    <col min="7959" max="7959" width="8.28515625" customWidth="1"/>
    <col min="7960" max="7961" width="9.28515625" customWidth="1"/>
    <col min="8193" max="8193" width="7.5703125" customWidth="1"/>
    <col min="8194" max="8194" width="4.85546875" customWidth="1"/>
    <col min="8195" max="8204" width="6.28515625" customWidth="1"/>
    <col min="8205" max="8205" width="5.28515625" customWidth="1"/>
    <col min="8207" max="8213" width="7.7109375" customWidth="1"/>
    <col min="8214" max="8214" width="9.28515625" customWidth="1"/>
    <col min="8215" max="8215" width="8.28515625" customWidth="1"/>
    <col min="8216" max="8217" width="9.28515625" customWidth="1"/>
    <col min="8449" max="8449" width="7.5703125" customWidth="1"/>
    <col min="8450" max="8450" width="4.85546875" customWidth="1"/>
    <col min="8451" max="8460" width="6.28515625" customWidth="1"/>
    <col min="8461" max="8461" width="5.28515625" customWidth="1"/>
    <col min="8463" max="8469" width="7.7109375" customWidth="1"/>
    <col min="8470" max="8470" width="9.28515625" customWidth="1"/>
    <col min="8471" max="8471" width="8.28515625" customWidth="1"/>
    <col min="8472" max="8473" width="9.28515625" customWidth="1"/>
    <col min="8705" max="8705" width="7.5703125" customWidth="1"/>
    <col min="8706" max="8706" width="4.85546875" customWidth="1"/>
    <col min="8707" max="8716" width="6.28515625" customWidth="1"/>
    <col min="8717" max="8717" width="5.28515625" customWidth="1"/>
    <col min="8719" max="8725" width="7.7109375" customWidth="1"/>
    <col min="8726" max="8726" width="9.28515625" customWidth="1"/>
    <col min="8727" max="8727" width="8.28515625" customWidth="1"/>
    <col min="8728" max="8729" width="9.28515625" customWidth="1"/>
    <col min="8961" max="8961" width="7.5703125" customWidth="1"/>
    <col min="8962" max="8962" width="4.85546875" customWidth="1"/>
    <col min="8963" max="8972" width="6.28515625" customWidth="1"/>
    <col min="8973" max="8973" width="5.28515625" customWidth="1"/>
    <col min="8975" max="8981" width="7.7109375" customWidth="1"/>
    <col min="8982" max="8982" width="9.28515625" customWidth="1"/>
    <col min="8983" max="8983" width="8.28515625" customWidth="1"/>
    <col min="8984" max="8985" width="9.28515625" customWidth="1"/>
    <col min="9217" max="9217" width="7.5703125" customWidth="1"/>
    <col min="9218" max="9218" width="4.85546875" customWidth="1"/>
    <col min="9219" max="9228" width="6.28515625" customWidth="1"/>
    <col min="9229" max="9229" width="5.28515625" customWidth="1"/>
    <col min="9231" max="9237" width="7.7109375" customWidth="1"/>
    <col min="9238" max="9238" width="9.28515625" customWidth="1"/>
    <col min="9239" max="9239" width="8.28515625" customWidth="1"/>
    <col min="9240" max="9241" width="9.28515625" customWidth="1"/>
    <col min="9473" max="9473" width="7.5703125" customWidth="1"/>
    <col min="9474" max="9474" width="4.85546875" customWidth="1"/>
    <col min="9475" max="9484" width="6.28515625" customWidth="1"/>
    <col min="9485" max="9485" width="5.28515625" customWidth="1"/>
    <col min="9487" max="9493" width="7.7109375" customWidth="1"/>
    <col min="9494" max="9494" width="9.28515625" customWidth="1"/>
    <col min="9495" max="9495" width="8.28515625" customWidth="1"/>
    <col min="9496" max="9497" width="9.28515625" customWidth="1"/>
    <col min="9729" max="9729" width="7.5703125" customWidth="1"/>
    <col min="9730" max="9730" width="4.85546875" customWidth="1"/>
    <col min="9731" max="9740" width="6.28515625" customWidth="1"/>
    <col min="9741" max="9741" width="5.28515625" customWidth="1"/>
    <col min="9743" max="9749" width="7.7109375" customWidth="1"/>
    <col min="9750" max="9750" width="9.28515625" customWidth="1"/>
    <col min="9751" max="9751" width="8.28515625" customWidth="1"/>
    <col min="9752" max="9753" width="9.28515625" customWidth="1"/>
    <col min="9985" max="9985" width="7.5703125" customWidth="1"/>
    <col min="9986" max="9986" width="4.85546875" customWidth="1"/>
    <col min="9987" max="9996" width="6.28515625" customWidth="1"/>
    <col min="9997" max="9997" width="5.28515625" customWidth="1"/>
    <col min="9999" max="10005" width="7.7109375" customWidth="1"/>
    <col min="10006" max="10006" width="9.28515625" customWidth="1"/>
    <col min="10007" max="10007" width="8.28515625" customWidth="1"/>
    <col min="10008" max="10009" width="9.28515625" customWidth="1"/>
    <col min="10241" max="10241" width="7.5703125" customWidth="1"/>
    <col min="10242" max="10242" width="4.85546875" customWidth="1"/>
    <col min="10243" max="10252" width="6.28515625" customWidth="1"/>
    <col min="10253" max="10253" width="5.28515625" customWidth="1"/>
    <col min="10255" max="10261" width="7.7109375" customWidth="1"/>
    <col min="10262" max="10262" width="9.28515625" customWidth="1"/>
    <col min="10263" max="10263" width="8.28515625" customWidth="1"/>
    <col min="10264" max="10265" width="9.28515625" customWidth="1"/>
    <col min="10497" max="10497" width="7.5703125" customWidth="1"/>
    <col min="10498" max="10498" width="4.85546875" customWidth="1"/>
    <col min="10499" max="10508" width="6.28515625" customWidth="1"/>
    <col min="10509" max="10509" width="5.28515625" customWidth="1"/>
    <col min="10511" max="10517" width="7.7109375" customWidth="1"/>
    <col min="10518" max="10518" width="9.28515625" customWidth="1"/>
    <col min="10519" max="10519" width="8.28515625" customWidth="1"/>
    <col min="10520" max="10521" width="9.28515625" customWidth="1"/>
    <col min="10753" max="10753" width="7.5703125" customWidth="1"/>
    <col min="10754" max="10754" width="4.85546875" customWidth="1"/>
    <col min="10755" max="10764" width="6.28515625" customWidth="1"/>
    <col min="10765" max="10765" width="5.28515625" customWidth="1"/>
    <col min="10767" max="10773" width="7.7109375" customWidth="1"/>
    <col min="10774" max="10774" width="9.28515625" customWidth="1"/>
    <col min="10775" max="10775" width="8.28515625" customWidth="1"/>
    <col min="10776" max="10777" width="9.28515625" customWidth="1"/>
    <col min="11009" max="11009" width="7.5703125" customWidth="1"/>
    <col min="11010" max="11010" width="4.85546875" customWidth="1"/>
    <col min="11011" max="11020" width="6.28515625" customWidth="1"/>
    <col min="11021" max="11021" width="5.28515625" customWidth="1"/>
    <col min="11023" max="11029" width="7.7109375" customWidth="1"/>
    <col min="11030" max="11030" width="9.28515625" customWidth="1"/>
    <col min="11031" max="11031" width="8.28515625" customWidth="1"/>
    <col min="11032" max="11033" width="9.28515625" customWidth="1"/>
    <col min="11265" max="11265" width="7.5703125" customWidth="1"/>
    <col min="11266" max="11266" width="4.85546875" customWidth="1"/>
    <col min="11267" max="11276" width="6.28515625" customWidth="1"/>
    <col min="11277" max="11277" width="5.28515625" customWidth="1"/>
    <col min="11279" max="11285" width="7.7109375" customWidth="1"/>
    <col min="11286" max="11286" width="9.28515625" customWidth="1"/>
    <col min="11287" max="11287" width="8.28515625" customWidth="1"/>
    <col min="11288" max="11289" width="9.28515625" customWidth="1"/>
    <col min="11521" max="11521" width="7.5703125" customWidth="1"/>
    <col min="11522" max="11522" width="4.85546875" customWidth="1"/>
    <col min="11523" max="11532" width="6.28515625" customWidth="1"/>
    <col min="11533" max="11533" width="5.28515625" customWidth="1"/>
    <col min="11535" max="11541" width="7.7109375" customWidth="1"/>
    <col min="11542" max="11542" width="9.28515625" customWidth="1"/>
    <col min="11543" max="11543" width="8.28515625" customWidth="1"/>
    <col min="11544" max="11545" width="9.28515625" customWidth="1"/>
    <col min="11777" max="11777" width="7.5703125" customWidth="1"/>
    <col min="11778" max="11778" width="4.85546875" customWidth="1"/>
    <col min="11779" max="11788" width="6.28515625" customWidth="1"/>
    <col min="11789" max="11789" width="5.28515625" customWidth="1"/>
    <col min="11791" max="11797" width="7.7109375" customWidth="1"/>
    <col min="11798" max="11798" width="9.28515625" customWidth="1"/>
    <col min="11799" max="11799" width="8.28515625" customWidth="1"/>
    <col min="11800" max="11801" width="9.28515625" customWidth="1"/>
    <col min="12033" max="12033" width="7.5703125" customWidth="1"/>
    <col min="12034" max="12034" width="4.85546875" customWidth="1"/>
    <col min="12035" max="12044" width="6.28515625" customWidth="1"/>
    <col min="12045" max="12045" width="5.28515625" customWidth="1"/>
    <col min="12047" max="12053" width="7.7109375" customWidth="1"/>
    <col min="12054" max="12054" width="9.28515625" customWidth="1"/>
    <col min="12055" max="12055" width="8.28515625" customWidth="1"/>
    <col min="12056" max="12057" width="9.28515625" customWidth="1"/>
    <col min="12289" max="12289" width="7.5703125" customWidth="1"/>
    <col min="12290" max="12290" width="4.85546875" customWidth="1"/>
    <col min="12291" max="12300" width="6.28515625" customWidth="1"/>
    <col min="12301" max="12301" width="5.28515625" customWidth="1"/>
    <col min="12303" max="12309" width="7.7109375" customWidth="1"/>
    <col min="12310" max="12310" width="9.28515625" customWidth="1"/>
    <col min="12311" max="12311" width="8.28515625" customWidth="1"/>
    <col min="12312" max="12313" width="9.28515625" customWidth="1"/>
    <col min="12545" max="12545" width="7.5703125" customWidth="1"/>
    <col min="12546" max="12546" width="4.85546875" customWidth="1"/>
    <col min="12547" max="12556" width="6.28515625" customWidth="1"/>
    <col min="12557" max="12557" width="5.28515625" customWidth="1"/>
    <col min="12559" max="12565" width="7.7109375" customWidth="1"/>
    <col min="12566" max="12566" width="9.28515625" customWidth="1"/>
    <col min="12567" max="12567" width="8.28515625" customWidth="1"/>
    <col min="12568" max="12569" width="9.28515625" customWidth="1"/>
    <col min="12801" max="12801" width="7.5703125" customWidth="1"/>
    <col min="12802" max="12802" width="4.85546875" customWidth="1"/>
    <col min="12803" max="12812" width="6.28515625" customWidth="1"/>
    <col min="12813" max="12813" width="5.28515625" customWidth="1"/>
    <col min="12815" max="12821" width="7.7109375" customWidth="1"/>
    <col min="12822" max="12822" width="9.28515625" customWidth="1"/>
    <col min="12823" max="12823" width="8.28515625" customWidth="1"/>
    <col min="12824" max="12825" width="9.28515625" customWidth="1"/>
    <col min="13057" max="13057" width="7.5703125" customWidth="1"/>
    <col min="13058" max="13058" width="4.85546875" customWidth="1"/>
    <col min="13059" max="13068" width="6.28515625" customWidth="1"/>
    <col min="13069" max="13069" width="5.28515625" customWidth="1"/>
    <col min="13071" max="13077" width="7.7109375" customWidth="1"/>
    <col min="13078" max="13078" width="9.28515625" customWidth="1"/>
    <col min="13079" max="13079" width="8.28515625" customWidth="1"/>
    <col min="13080" max="13081" width="9.28515625" customWidth="1"/>
    <col min="13313" max="13313" width="7.5703125" customWidth="1"/>
    <col min="13314" max="13314" width="4.85546875" customWidth="1"/>
    <col min="13315" max="13324" width="6.28515625" customWidth="1"/>
    <col min="13325" max="13325" width="5.28515625" customWidth="1"/>
    <col min="13327" max="13333" width="7.7109375" customWidth="1"/>
    <col min="13334" max="13334" width="9.28515625" customWidth="1"/>
    <col min="13335" max="13335" width="8.28515625" customWidth="1"/>
    <col min="13336" max="13337" width="9.28515625" customWidth="1"/>
    <col min="13569" max="13569" width="7.5703125" customWidth="1"/>
    <col min="13570" max="13570" width="4.85546875" customWidth="1"/>
    <col min="13571" max="13580" width="6.28515625" customWidth="1"/>
    <col min="13581" max="13581" width="5.28515625" customWidth="1"/>
    <col min="13583" max="13589" width="7.7109375" customWidth="1"/>
    <col min="13590" max="13590" width="9.28515625" customWidth="1"/>
    <col min="13591" max="13591" width="8.28515625" customWidth="1"/>
    <col min="13592" max="13593" width="9.28515625" customWidth="1"/>
    <col min="13825" max="13825" width="7.5703125" customWidth="1"/>
    <col min="13826" max="13826" width="4.85546875" customWidth="1"/>
    <col min="13827" max="13836" width="6.28515625" customWidth="1"/>
    <col min="13837" max="13837" width="5.28515625" customWidth="1"/>
    <col min="13839" max="13845" width="7.7109375" customWidth="1"/>
    <col min="13846" max="13846" width="9.28515625" customWidth="1"/>
    <col min="13847" max="13847" width="8.28515625" customWidth="1"/>
    <col min="13848" max="13849" width="9.28515625" customWidth="1"/>
    <col min="14081" max="14081" width="7.5703125" customWidth="1"/>
    <col min="14082" max="14082" width="4.85546875" customWidth="1"/>
    <col min="14083" max="14092" width="6.28515625" customWidth="1"/>
    <col min="14093" max="14093" width="5.28515625" customWidth="1"/>
    <col min="14095" max="14101" width="7.7109375" customWidth="1"/>
    <col min="14102" max="14102" width="9.28515625" customWidth="1"/>
    <col min="14103" max="14103" width="8.28515625" customWidth="1"/>
    <col min="14104" max="14105" width="9.28515625" customWidth="1"/>
    <col min="14337" max="14337" width="7.5703125" customWidth="1"/>
    <col min="14338" max="14338" width="4.85546875" customWidth="1"/>
    <col min="14339" max="14348" width="6.28515625" customWidth="1"/>
    <col min="14349" max="14349" width="5.28515625" customWidth="1"/>
    <col min="14351" max="14357" width="7.7109375" customWidth="1"/>
    <col min="14358" max="14358" width="9.28515625" customWidth="1"/>
    <col min="14359" max="14359" width="8.28515625" customWidth="1"/>
    <col min="14360" max="14361" width="9.28515625" customWidth="1"/>
    <col min="14593" max="14593" width="7.5703125" customWidth="1"/>
    <col min="14594" max="14594" width="4.85546875" customWidth="1"/>
    <col min="14595" max="14604" width="6.28515625" customWidth="1"/>
    <col min="14605" max="14605" width="5.28515625" customWidth="1"/>
    <col min="14607" max="14613" width="7.7109375" customWidth="1"/>
    <col min="14614" max="14614" width="9.28515625" customWidth="1"/>
    <col min="14615" max="14615" width="8.28515625" customWidth="1"/>
    <col min="14616" max="14617" width="9.28515625" customWidth="1"/>
    <col min="14849" max="14849" width="7.5703125" customWidth="1"/>
    <col min="14850" max="14850" width="4.85546875" customWidth="1"/>
    <col min="14851" max="14860" width="6.28515625" customWidth="1"/>
    <col min="14861" max="14861" width="5.28515625" customWidth="1"/>
    <col min="14863" max="14869" width="7.7109375" customWidth="1"/>
    <col min="14870" max="14870" width="9.28515625" customWidth="1"/>
    <col min="14871" max="14871" width="8.28515625" customWidth="1"/>
    <col min="14872" max="14873" width="9.28515625" customWidth="1"/>
    <col min="15105" max="15105" width="7.5703125" customWidth="1"/>
    <col min="15106" max="15106" width="4.85546875" customWidth="1"/>
    <col min="15107" max="15116" width="6.28515625" customWidth="1"/>
    <col min="15117" max="15117" width="5.28515625" customWidth="1"/>
    <col min="15119" max="15125" width="7.7109375" customWidth="1"/>
    <col min="15126" max="15126" width="9.28515625" customWidth="1"/>
    <col min="15127" max="15127" width="8.28515625" customWidth="1"/>
    <col min="15128" max="15129" width="9.28515625" customWidth="1"/>
    <col min="15361" max="15361" width="7.5703125" customWidth="1"/>
    <col min="15362" max="15362" width="4.85546875" customWidth="1"/>
    <col min="15363" max="15372" width="6.28515625" customWidth="1"/>
    <col min="15373" max="15373" width="5.28515625" customWidth="1"/>
    <col min="15375" max="15381" width="7.7109375" customWidth="1"/>
    <col min="15382" max="15382" width="9.28515625" customWidth="1"/>
    <col min="15383" max="15383" width="8.28515625" customWidth="1"/>
    <col min="15384" max="15385" width="9.28515625" customWidth="1"/>
    <col min="15617" max="15617" width="7.5703125" customWidth="1"/>
    <col min="15618" max="15618" width="4.85546875" customWidth="1"/>
    <col min="15619" max="15628" width="6.28515625" customWidth="1"/>
    <col min="15629" max="15629" width="5.28515625" customWidth="1"/>
    <col min="15631" max="15637" width="7.7109375" customWidth="1"/>
    <col min="15638" max="15638" width="9.28515625" customWidth="1"/>
    <col min="15639" max="15639" width="8.28515625" customWidth="1"/>
    <col min="15640" max="15641" width="9.28515625" customWidth="1"/>
    <col min="15873" max="15873" width="7.5703125" customWidth="1"/>
    <col min="15874" max="15874" width="4.85546875" customWidth="1"/>
    <col min="15875" max="15884" width="6.28515625" customWidth="1"/>
    <col min="15885" max="15885" width="5.28515625" customWidth="1"/>
    <col min="15887" max="15893" width="7.7109375" customWidth="1"/>
    <col min="15894" max="15894" width="9.28515625" customWidth="1"/>
    <col min="15895" max="15895" width="8.28515625" customWidth="1"/>
    <col min="15896" max="15897" width="9.28515625" customWidth="1"/>
    <col min="16129" max="16129" width="7.5703125" customWidth="1"/>
    <col min="16130" max="16130" width="4.85546875" customWidth="1"/>
    <col min="16131" max="16140" width="6.28515625" customWidth="1"/>
    <col min="16141" max="16141" width="5.28515625" customWidth="1"/>
    <col min="16143" max="16149" width="7.7109375" customWidth="1"/>
    <col min="16150" max="16150" width="9.28515625" customWidth="1"/>
    <col min="16151" max="16151" width="8.28515625" customWidth="1"/>
    <col min="16152" max="16153" width="9.28515625" customWidth="1"/>
  </cols>
  <sheetData>
    <row r="1" spans="1:26" ht="18">
      <c r="A1" s="492" t="s">
        <v>501</v>
      </c>
      <c r="B1" s="493"/>
      <c r="C1" s="493"/>
      <c r="D1" s="493"/>
      <c r="E1" s="493"/>
      <c r="F1" s="493"/>
      <c r="G1" s="493"/>
      <c r="H1" s="493"/>
      <c r="I1" s="493"/>
      <c r="J1" s="493"/>
      <c r="K1" s="493"/>
      <c r="L1" s="493"/>
      <c r="M1" s="493"/>
      <c r="N1" s="493"/>
      <c r="O1" s="492" t="s">
        <v>501</v>
      </c>
      <c r="P1" s="493"/>
      <c r="Q1" s="493"/>
      <c r="R1" s="493"/>
      <c r="S1" s="493"/>
      <c r="T1" s="493"/>
      <c r="U1" s="493"/>
      <c r="V1" s="493"/>
      <c r="W1" s="493"/>
      <c r="X1" s="493"/>
      <c r="Y1" s="493"/>
    </row>
    <row r="2" spans="1:26" ht="18">
      <c r="A2" s="492" t="s">
        <v>502</v>
      </c>
      <c r="B2" s="493"/>
      <c r="C2" s="493"/>
      <c r="D2" s="493"/>
      <c r="E2" s="493"/>
      <c r="F2" s="493"/>
      <c r="G2" s="493"/>
      <c r="H2" s="493"/>
      <c r="I2" s="493"/>
      <c r="J2" s="493"/>
      <c r="K2" s="493"/>
      <c r="L2" s="493"/>
      <c r="M2" s="493"/>
      <c r="N2" s="493"/>
      <c r="O2" s="492" t="s">
        <v>502</v>
      </c>
      <c r="P2" s="493"/>
      <c r="Q2" s="493"/>
      <c r="R2" s="493"/>
      <c r="S2" s="493"/>
      <c r="T2" s="493"/>
      <c r="U2" s="493"/>
      <c r="V2" s="493"/>
      <c r="W2" s="493"/>
      <c r="X2" s="493"/>
      <c r="Y2" s="493"/>
    </row>
    <row r="4" spans="1:26" s="498" customFormat="1" ht="11.25">
      <c r="A4" s="494" t="s">
        <v>503</v>
      </c>
      <c r="B4" s="495"/>
      <c r="C4" s="495"/>
      <c r="D4" s="495"/>
      <c r="E4" s="496"/>
      <c r="F4" s="494" t="s">
        <v>504</v>
      </c>
      <c r="G4" s="495"/>
      <c r="H4" s="495"/>
      <c r="I4" s="496"/>
      <c r="J4" s="494" t="s">
        <v>505</v>
      </c>
      <c r="K4" s="495"/>
      <c r="L4" s="495"/>
      <c r="M4" s="495"/>
      <c r="N4" s="496"/>
      <c r="O4" s="494" t="s">
        <v>503</v>
      </c>
      <c r="P4" s="495"/>
      <c r="Q4" s="496"/>
      <c r="R4" s="494" t="s">
        <v>504</v>
      </c>
      <c r="S4" s="495"/>
      <c r="T4" s="495"/>
      <c r="U4" s="496"/>
      <c r="V4" s="494" t="s">
        <v>505</v>
      </c>
      <c r="W4" s="495"/>
      <c r="X4" s="495"/>
      <c r="Y4" s="496"/>
      <c r="Z4" s="497"/>
    </row>
    <row r="5" spans="1:26">
      <c r="A5" s="499"/>
      <c r="B5" s="51"/>
      <c r="C5" s="51"/>
      <c r="D5" s="51"/>
      <c r="E5" s="500"/>
      <c r="F5" s="501"/>
      <c r="G5" s="502"/>
      <c r="H5" s="502"/>
      <c r="I5" s="503"/>
      <c r="J5" s="501"/>
      <c r="K5" s="502"/>
      <c r="L5" s="502"/>
      <c r="M5" s="502"/>
      <c r="N5" s="503"/>
      <c r="O5" s="499"/>
      <c r="P5" s="51"/>
      <c r="Q5" s="500"/>
      <c r="R5" s="499" t="str">
        <f>IF(F5&lt;&gt;"",F5,"")</f>
        <v/>
      </c>
      <c r="S5" s="51"/>
      <c r="T5" s="51"/>
      <c r="U5" s="500"/>
      <c r="V5" s="499" t="str">
        <f>IF(J5&lt;&gt;"",J5,"")</f>
        <v/>
      </c>
      <c r="W5" s="51"/>
      <c r="X5" s="51"/>
      <c r="Y5" s="500"/>
      <c r="Z5" s="15"/>
    </row>
    <row r="6" spans="1:26" s="498" customFormat="1" ht="11.25">
      <c r="A6" s="494" t="s">
        <v>506</v>
      </c>
      <c r="B6" s="495"/>
      <c r="C6" s="495"/>
      <c r="D6" s="495"/>
      <c r="E6" s="496"/>
      <c r="F6" s="494" t="s">
        <v>507</v>
      </c>
      <c r="G6" s="495"/>
      <c r="H6" s="495"/>
      <c r="I6" s="496"/>
      <c r="J6" s="494" t="s">
        <v>508</v>
      </c>
      <c r="K6" s="495"/>
      <c r="L6" s="495"/>
      <c r="M6" s="495"/>
      <c r="N6" s="496"/>
      <c r="O6" s="494" t="s">
        <v>506</v>
      </c>
      <c r="P6" s="495"/>
      <c r="Q6" s="496"/>
      <c r="R6" s="494" t="s">
        <v>507</v>
      </c>
      <c r="S6" s="495"/>
      <c r="T6" s="495"/>
      <c r="U6" s="496"/>
      <c r="V6" s="494" t="s">
        <v>508</v>
      </c>
      <c r="W6" s="495"/>
      <c r="X6" s="495"/>
      <c r="Y6" s="496"/>
      <c r="Z6" s="497"/>
    </row>
    <row r="7" spans="1:26">
      <c r="A7" s="499"/>
      <c r="B7" s="51"/>
      <c r="C7" s="51"/>
      <c r="D7" s="51"/>
      <c r="E7" s="500"/>
      <c r="F7" s="501"/>
      <c r="G7" s="502"/>
      <c r="H7" s="502"/>
      <c r="I7" s="503"/>
      <c r="J7" s="501"/>
      <c r="K7" s="502"/>
      <c r="L7" s="502"/>
      <c r="M7" s="502"/>
      <c r="N7" s="503"/>
      <c r="O7" s="499"/>
      <c r="P7" s="51"/>
      <c r="Q7" s="500"/>
      <c r="R7" s="499" t="str">
        <f>IF(F7&lt;&gt;"",F7,"")</f>
        <v/>
      </c>
      <c r="S7" s="51"/>
      <c r="T7" s="51"/>
      <c r="U7" s="500"/>
      <c r="V7" s="499" t="str">
        <f>IF(J7&lt;&gt;"",J7,"")</f>
        <v/>
      </c>
      <c r="W7" s="51"/>
      <c r="X7" s="51"/>
      <c r="Y7" s="500"/>
      <c r="Z7" s="15"/>
    </row>
    <row r="8" spans="1:26" s="498" customFormat="1">
      <c r="A8" s="494" t="s">
        <v>509</v>
      </c>
      <c r="B8" s="495"/>
      <c r="C8" s="495"/>
      <c r="D8" s="504" t="s">
        <v>510</v>
      </c>
      <c r="E8" s="505"/>
      <c r="F8" s="494" t="s">
        <v>511</v>
      </c>
      <c r="G8" s="495"/>
      <c r="H8" s="495"/>
      <c r="I8" s="496"/>
      <c r="J8" s="494" t="s">
        <v>512</v>
      </c>
      <c r="K8" s="495"/>
      <c r="L8" s="495"/>
      <c r="M8" s="495"/>
      <c r="N8" s="496"/>
      <c r="O8" s="494" t="s">
        <v>509</v>
      </c>
      <c r="P8" s="48"/>
      <c r="Q8" s="506"/>
      <c r="R8" s="494" t="s">
        <v>511</v>
      </c>
      <c r="S8" s="495"/>
      <c r="T8" s="495"/>
      <c r="U8" s="496"/>
      <c r="V8" s="494" t="s">
        <v>512</v>
      </c>
      <c r="W8" s="495"/>
      <c r="X8" s="495"/>
      <c r="Y8" s="496"/>
      <c r="Z8" s="497"/>
    </row>
    <row r="9" spans="1:26">
      <c r="A9" s="501"/>
      <c r="B9" s="502"/>
      <c r="C9" s="502"/>
      <c r="D9" s="507">
        <v>9</v>
      </c>
      <c r="E9" s="508">
        <v>11</v>
      </c>
      <c r="F9" s="501"/>
      <c r="G9" s="502"/>
      <c r="H9" s="502"/>
      <c r="I9" s="503"/>
      <c r="J9" s="501"/>
      <c r="K9" s="502"/>
      <c r="L9" s="502"/>
      <c r="M9" s="502"/>
      <c r="N9" s="503"/>
      <c r="O9" s="499" t="str">
        <f>IF(A9&lt;&gt;"",A9,"")</f>
        <v/>
      </c>
      <c r="P9" s="51"/>
      <c r="Q9" s="500"/>
      <c r="R9" s="499" t="str">
        <f>IF(F9&lt;&gt;"",F9,"")</f>
        <v/>
      </c>
      <c r="S9" s="51"/>
      <c r="T9" s="51"/>
      <c r="U9" s="500"/>
      <c r="V9" s="499" t="str">
        <f>IF(J9&lt;&gt;"",J9,"")</f>
        <v/>
      </c>
      <c r="W9" s="51"/>
      <c r="X9" s="51"/>
      <c r="Y9" s="500"/>
      <c r="Z9" s="15"/>
    </row>
    <row r="10" spans="1:26">
      <c r="A10" s="494" t="s">
        <v>513</v>
      </c>
      <c r="B10" s="495"/>
      <c r="C10" s="495"/>
      <c r="D10" s="495"/>
      <c r="E10" s="496"/>
      <c r="F10" s="494" t="s">
        <v>514</v>
      </c>
      <c r="G10" s="496"/>
      <c r="H10" s="494" t="s">
        <v>515</v>
      </c>
      <c r="I10" s="496"/>
      <c r="J10" s="494" t="s">
        <v>516</v>
      </c>
      <c r="K10" s="496"/>
      <c r="L10" s="494" t="s">
        <v>517</v>
      </c>
      <c r="M10" s="495"/>
      <c r="N10" s="496"/>
      <c r="O10" s="494" t="s">
        <v>513</v>
      </c>
      <c r="P10" s="48"/>
      <c r="Q10" s="506"/>
      <c r="R10" s="494" t="s">
        <v>514</v>
      </c>
      <c r="S10" s="496"/>
      <c r="T10" s="494" t="s">
        <v>515</v>
      </c>
      <c r="U10" s="496"/>
      <c r="V10" s="494" t="s">
        <v>516</v>
      </c>
      <c r="W10" s="496"/>
      <c r="X10" s="494" t="s">
        <v>517</v>
      </c>
      <c r="Y10" s="496"/>
      <c r="Z10" s="497"/>
    </row>
    <row r="11" spans="1:26">
      <c r="A11" s="501"/>
      <c r="B11" s="502"/>
      <c r="C11" s="502"/>
      <c r="D11" s="502"/>
      <c r="E11" s="503"/>
      <c r="F11" s="509">
        <f>IF(C15&lt;&gt;"",COUNT(C15:C17),"")</f>
        <v>3</v>
      </c>
      <c r="G11" s="510"/>
      <c r="H11" s="509">
        <f>IF(C15&lt;&gt;"",COUNT(C15:L15),"")</f>
        <v>10</v>
      </c>
      <c r="I11" s="510"/>
      <c r="J11" s="509">
        <f>IF(C15&lt;&gt;"",COUNT(C15,C20,C25),"")</f>
        <v>3</v>
      </c>
      <c r="K11" s="511"/>
      <c r="L11" s="501"/>
      <c r="M11" s="502"/>
      <c r="N11" s="503"/>
      <c r="O11" s="499" t="str">
        <f>IF(A11&lt;&gt;"",A11,"")</f>
        <v/>
      </c>
      <c r="P11" s="51"/>
      <c r="Q11" s="500"/>
      <c r="R11" s="512">
        <f>F11</f>
        <v>3</v>
      </c>
      <c r="S11" s="511"/>
      <c r="T11" s="512">
        <f>H11</f>
        <v>10</v>
      </c>
      <c r="U11" s="511"/>
      <c r="V11" s="512">
        <f>J11</f>
        <v>3</v>
      </c>
      <c r="W11" s="511"/>
      <c r="X11" s="499" t="str">
        <f>IF(L11&lt;&gt;"",L11,"")</f>
        <v/>
      </c>
      <c r="Y11" s="500"/>
      <c r="Z11" s="15"/>
    </row>
    <row r="12" spans="1:26" ht="15.75" thickBot="1">
      <c r="A12" s="15"/>
      <c r="B12" s="15"/>
      <c r="C12" s="15"/>
      <c r="D12" s="513"/>
      <c r="E12" s="513" t="str">
        <f>IF(D9&gt;E9,"ENTER LOWER TOLERANCE IN D9","")</f>
        <v/>
      </c>
      <c r="F12" s="15" t="str">
        <f>IF(C15&lt;&gt;"",IF(F11*H11*J11&lt;90,"DERIVED RESULTS MAY NOT BE STATISTICALLY SOUND",""),"")</f>
        <v/>
      </c>
      <c r="G12" s="514"/>
      <c r="H12" s="15"/>
      <c r="I12" s="514"/>
      <c r="J12" s="15"/>
      <c r="K12" s="514"/>
      <c r="L12" s="15"/>
      <c r="M12" s="15"/>
      <c r="N12" s="15"/>
      <c r="O12" s="15"/>
      <c r="P12" s="15"/>
      <c r="Q12" s="15"/>
      <c r="R12" s="15"/>
      <c r="S12" s="514"/>
      <c r="T12" s="15"/>
      <c r="U12" s="514"/>
      <c r="V12" s="15"/>
      <c r="W12" s="514"/>
      <c r="X12" s="15"/>
      <c r="Y12" s="15"/>
      <c r="Z12" s="15"/>
    </row>
    <row r="13" spans="1:26" ht="15.75">
      <c r="A13" s="515" t="s">
        <v>518</v>
      </c>
      <c r="B13" s="516"/>
      <c r="C13" s="517" t="s">
        <v>519</v>
      </c>
      <c r="D13" s="518"/>
      <c r="E13" s="518"/>
      <c r="F13" s="518"/>
      <c r="G13" s="518"/>
      <c r="H13" s="518"/>
      <c r="I13" s="518"/>
      <c r="J13" s="518"/>
      <c r="K13" s="518"/>
      <c r="L13" s="519"/>
      <c r="M13" s="520" t="s">
        <v>520</v>
      </c>
      <c r="N13" s="521"/>
      <c r="O13" s="522"/>
      <c r="P13" s="523"/>
      <c r="Q13" s="523"/>
      <c r="R13" s="524" t="s">
        <v>521</v>
      </c>
      <c r="S13" s="523"/>
      <c r="T13" s="523"/>
      <c r="U13" s="525"/>
      <c r="V13" s="526" t="s">
        <v>522</v>
      </c>
      <c r="W13" s="527"/>
      <c r="X13" s="528"/>
      <c r="Y13" s="529"/>
    </row>
    <row r="14" spans="1:26" ht="15.75" customHeight="1" thickBot="1">
      <c r="A14" s="530" t="s">
        <v>523</v>
      </c>
      <c r="B14" s="531"/>
      <c r="C14" s="532">
        <v>1</v>
      </c>
      <c r="D14" s="532">
        <v>2</v>
      </c>
      <c r="E14" s="532">
        <v>3</v>
      </c>
      <c r="F14" s="532">
        <v>4</v>
      </c>
      <c r="G14" s="532">
        <v>5</v>
      </c>
      <c r="H14" s="532">
        <v>6</v>
      </c>
      <c r="I14" s="532">
        <v>7</v>
      </c>
      <c r="J14" s="532">
        <v>8</v>
      </c>
      <c r="K14" s="532">
        <v>9</v>
      </c>
      <c r="L14" s="532">
        <v>10</v>
      </c>
      <c r="M14" s="533"/>
      <c r="N14" s="20"/>
      <c r="O14" s="534" t="s">
        <v>524</v>
      </c>
      <c r="P14" s="48"/>
      <c r="Q14" s="48"/>
      <c r="R14" s="48"/>
      <c r="S14" s="48"/>
      <c r="T14" s="48"/>
      <c r="U14" s="506"/>
      <c r="V14" s="535"/>
      <c r="W14" s="48"/>
      <c r="X14" s="48"/>
      <c r="Y14" s="536"/>
    </row>
    <row r="15" spans="1:26" ht="18" customHeight="1">
      <c r="A15" s="537" t="s">
        <v>525</v>
      </c>
      <c r="B15" s="538">
        <v>1</v>
      </c>
      <c r="C15" s="539">
        <v>10</v>
      </c>
      <c r="D15" s="539">
        <v>9.9</v>
      </c>
      <c r="E15" s="539">
        <v>9.8000000000000007</v>
      </c>
      <c r="F15" s="539">
        <v>9.6999999999999993</v>
      </c>
      <c r="G15" s="539">
        <v>9.8000000000000007</v>
      </c>
      <c r="H15" s="539">
        <v>9.9</v>
      </c>
      <c r="I15" s="539">
        <v>10</v>
      </c>
      <c r="J15" s="539">
        <v>10.1</v>
      </c>
      <c r="K15" s="539">
        <v>10.199999999999999</v>
      </c>
      <c r="L15" s="539">
        <v>10.3</v>
      </c>
      <c r="M15" s="540"/>
      <c r="N15" s="541">
        <f t="shared" ref="N15:N29" si="0">IF(C15&lt;&gt;"",AVERAGE(C15:L15),"")</f>
        <v>9.9699999999999989</v>
      </c>
      <c r="O15" s="542" t="s">
        <v>526</v>
      </c>
      <c r="P15" s="514" t="s">
        <v>527</v>
      </c>
      <c r="Q15" s="543" t="s">
        <v>528</v>
      </c>
      <c r="R15" s="15"/>
      <c r="S15" s="15"/>
      <c r="T15" s="42" t="s">
        <v>514</v>
      </c>
      <c r="U15" s="544" t="s">
        <v>529</v>
      </c>
      <c r="V15" s="545" t="s">
        <v>530</v>
      </c>
      <c r="W15" s="514" t="s">
        <v>527</v>
      </c>
      <c r="X15" s="15" t="s">
        <v>531</v>
      </c>
      <c r="Y15" s="16"/>
    </row>
    <row r="16" spans="1:26" ht="18" customHeight="1" thickBot="1">
      <c r="A16" s="546">
        <v>2</v>
      </c>
      <c r="B16" s="547">
        <v>2</v>
      </c>
      <c r="C16" s="548">
        <v>10</v>
      </c>
      <c r="D16" s="548">
        <v>9.9499999999999993</v>
      </c>
      <c r="E16" s="548">
        <v>9.84</v>
      </c>
      <c r="F16" s="548">
        <v>9.6</v>
      </c>
      <c r="G16" s="548">
        <v>9.75</v>
      </c>
      <c r="H16" s="548">
        <v>9.8000000000000007</v>
      </c>
      <c r="I16" s="548">
        <v>9.9</v>
      </c>
      <c r="J16" s="548">
        <v>10.199999999999999</v>
      </c>
      <c r="K16" s="548">
        <v>10.199999999999999</v>
      </c>
      <c r="L16" s="548">
        <v>10.15</v>
      </c>
      <c r="M16" s="51"/>
      <c r="N16" s="549">
        <f t="shared" si="0"/>
        <v>9.9390000000000018</v>
      </c>
      <c r="O16" s="459"/>
      <c r="P16" s="514" t="s">
        <v>527</v>
      </c>
      <c r="Q16" s="15" t="str">
        <f>IF(C15&lt;&gt;"",CONCATENATE(TEXT($N$32,"0.000")," x ",CHOOSE($F$11,0,U16,U17)),"")</f>
        <v>0.135 x 0.5907</v>
      </c>
      <c r="R16" s="15"/>
      <c r="S16" s="15"/>
      <c r="T16" s="550">
        <v>2</v>
      </c>
      <c r="U16" s="551">
        <v>0.88649999999999995</v>
      </c>
      <c r="V16" s="545"/>
      <c r="W16" s="514" t="s">
        <v>527</v>
      </c>
      <c r="X16" s="552" t="str">
        <f>IF(C15&lt;&gt;"",CONCATENATE("100(",TEXT($Q$17,"0.000"),"/",TEXT($Q$35,"0.000"),")"),"")</f>
        <v>100(0.080/2.000)</v>
      </c>
      <c r="Y16" s="16"/>
    </row>
    <row r="17" spans="1:25" ht="18" customHeight="1">
      <c r="A17" s="553">
        <f>A16+1</f>
        <v>3</v>
      </c>
      <c r="B17" s="554">
        <v>3</v>
      </c>
      <c r="C17" s="539">
        <v>10</v>
      </c>
      <c r="D17" s="539">
        <v>9.9</v>
      </c>
      <c r="E17" s="539">
        <v>9.8000000000000007</v>
      </c>
      <c r="F17" s="539">
        <v>9.6999999999999993</v>
      </c>
      <c r="G17" s="539">
        <v>9.8000000000000007</v>
      </c>
      <c r="H17" s="539">
        <v>9.9</v>
      </c>
      <c r="I17" s="539">
        <v>10</v>
      </c>
      <c r="J17" s="539">
        <v>10.1</v>
      </c>
      <c r="K17" s="539">
        <v>10.199999999999999</v>
      </c>
      <c r="L17" s="539">
        <v>10.3</v>
      </c>
      <c r="M17" s="51"/>
      <c r="N17" s="549">
        <f t="shared" si="0"/>
        <v>9.9699999999999989</v>
      </c>
      <c r="O17" s="555"/>
      <c r="P17" s="556" t="s">
        <v>527</v>
      </c>
      <c r="Q17" s="557">
        <f>IF(C15&lt;&gt;"",$N$32*(CHOOSE($F$11,0,U16,U17)),"")</f>
        <v>7.9744499999999913E-2</v>
      </c>
      <c r="R17" s="51"/>
      <c r="S17" s="51"/>
      <c r="T17" s="558">
        <v>3</v>
      </c>
      <c r="U17" s="554">
        <v>0.5907</v>
      </c>
      <c r="V17" s="499"/>
      <c r="W17" s="556" t="s">
        <v>527</v>
      </c>
      <c r="X17" s="559">
        <f>IF(C15&lt;&gt;"",100*($Q$17/$Q$35),"")</f>
        <v>3.9872249999999956</v>
      </c>
      <c r="Y17" s="560"/>
    </row>
    <row r="18" spans="1:25" ht="18" customHeight="1">
      <c r="A18" s="553">
        <f>A17+1</f>
        <v>4</v>
      </c>
      <c r="B18" s="554" t="s">
        <v>251</v>
      </c>
      <c r="C18" s="561">
        <f>IF(C15&lt;&gt;"",SUM(C15:C17)/COUNT(C15:C17),"")</f>
        <v>10</v>
      </c>
      <c r="D18" s="561">
        <f t="shared" ref="D18:L18" si="1">IF(D15&lt;&gt;"",SUM(D15:D17)/COUNT(D15:D17),"")</f>
        <v>9.9166666666666661</v>
      </c>
      <c r="E18" s="561">
        <f t="shared" si="1"/>
        <v>9.8133333333333344</v>
      </c>
      <c r="F18" s="561">
        <f t="shared" si="1"/>
        <v>9.6666666666666661</v>
      </c>
      <c r="G18" s="561">
        <f t="shared" si="1"/>
        <v>9.7833333333333332</v>
      </c>
      <c r="H18" s="561">
        <f t="shared" si="1"/>
        <v>9.8666666666666671</v>
      </c>
      <c r="I18" s="561">
        <f t="shared" si="1"/>
        <v>9.9666666666666668</v>
      </c>
      <c r="J18" s="561">
        <f t="shared" si="1"/>
        <v>10.133333333333333</v>
      </c>
      <c r="K18" s="561">
        <f t="shared" si="1"/>
        <v>10.199999999999999</v>
      </c>
      <c r="L18" s="561">
        <f t="shared" si="1"/>
        <v>10.250000000000002</v>
      </c>
      <c r="M18" s="562" t="s">
        <v>532</v>
      </c>
      <c r="N18" s="549">
        <f t="shared" si="0"/>
        <v>9.9596666666666653</v>
      </c>
      <c r="O18" s="534" t="s">
        <v>533</v>
      </c>
      <c r="P18" s="48"/>
      <c r="Q18" s="48"/>
      <c r="R18" s="48"/>
      <c r="S18" s="48"/>
      <c r="T18" s="48"/>
      <c r="U18" s="506"/>
      <c r="V18" s="535"/>
      <c r="W18" s="48"/>
      <c r="X18" s="48"/>
      <c r="Y18" s="536"/>
    </row>
    <row r="19" spans="1:25" ht="18" customHeight="1" thickBot="1">
      <c r="A19" s="563">
        <f>A18+1</f>
        <v>5</v>
      </c>
      <c r="B19" s="564" t="s">
        <v>534</v>
      </c>
      <c r="C19" s="565">
        <f>IF(C15&lt;&gt;"",MAX(C15:C17)-MIN(C15:C17),"")</f>
        <v>0</v>
      </c>
      <c r="D19" s="565">
        <f t="shared" ref="D19:L19" si="2">IF(D15&lt;&gt;"",MAX(D15:D17)-MIN(D15:D17),"")</f>
        <v>4.9999999999998934E-2</v>
      </c>
      <c r="E19" s="565">
        <f t="shared" si="2"/>
        <v>3.9999999999999147E-2</v>
      </c>
      <c r="F19" s="565">
        <f t="shared" si="2"/>
        <v>9.9999999999999645E-2</v>
      </c>
      <c r="G19" s="565">
        <f t="shared" si="2"/>
        <v>5.0000000000000711E-2</v>
      </c>
      <c r="H19" s="565">
        <f t="shared" si="2"/>
        <v>9.9999999999999645E-2</v>
      </c>
      <c r="I19" s="565">
        <f t="shared" si="2"/>
        <v>9.9999999999999645E-2</v>
      </c>
      <c r="J19" s="565">
        <f t="shared" si="2"/>
        <v>9.9999999999999645E-2</v>
      </c>
      <c r="K19" s="565">
        <f t="shared" si="2"/>
        <v>0</v>
      </c>
      <c r="L19" s="565">
        <f t="shared" si="2"/>
        <v>0.15000000000000036</v>
      </c>
      <c r="M19" s="566" t="s">
        <v>535</v>
      </c>
      <c r="N19" s="549">
        <f t="shared" si="0"/>
        <v>6.899999999999977E-2</v>
      </c>
      <c r="O19" s="542" t="s">
        <v>536</v>
      </c>
      <c r="P19" s="514" t="s">
        <v>527</v>
      </c>
      <c r="Q19" s="15" t="s">
        <v>537</v>
      </c>
      <c r="R19" s="15"/>
      <c r="S19" s="15"/>
      <c r="T19" s="15"/>
      <c r="U19" s="567"/>
      <c r="V19" s="545" t="s">
        <v>538</v>
      </c>
      <c r="W19" s="514" t="s">
        <v>527</v>
      </c>
      <c r="X19" s="15" t="s">
        <v>539</v>
      </c>
      <c r="Y19" s="16"/>
    </row>
    <row r="20" spans="1:25" ht="18" customHeight="1">
      <c r="A20" s="537" t="s">
        <v>540</v>
      </c>
      <c r="B20" s="538">
        <v>1</v>
      </c>
      <c r="C20" s="539">
        <v>9.9</v>
      </c>
      <c r="D20" s="539">
        <v>9.1</v>
      </c>
      <c r="E20" s="539">
        <v>9.6999999999999993</v>
      </c>
      <c r="F20" s="539">
        <v>9.65</v>
      </c>
      <c r="G20" s="539">
        <v>9.76</v>
      </c>
      <c r="H20" s="539">
        <v>9.8000000000000007</v>
      </c>
      <c r="I20" s="539">
        <v>9.9499999999999993</v>
      </c>
      <c r="J20" s="539">
        <v>10.050000000000001</v>
      </c>
      <c r="K20" s="539">
        <v>10.18</v>
      </c>
      <c r="L20" s="539">
        <v>10.199999999999999</v>
      </c>
      <c r="M20" s="540"/>
      <c r="N20" s="541">
        <f t="shared" si="0"/>
        <v>9.8290000000000006</v>
      </c>
      <c r="O20" s="459"/>
      <c r="P20" s="514" t="s">
        <v>527</v>
      </c>
      <c r="Q20" s="568" t="str">
        <f>IF(C15&lt;&gt;"",CONCATENATE("{(",TEXT($N$33,"0.000")," x ",CHOOSE($J$11,0,T23,U23),")^2 - (",TEXT($Q$17,"0.000")," ^2/(",$H$11," x ",$F$11,"))}^1/2"),"")</f>
        <v>{(0.151 x 0.5236)^2 - (0.080 ^2/(10 x 3))}^1/2</v>
      </c>
      <c r="R20" s="15"/>
      <c r="S20" s="15"/>
      <c r="T20" s="15"/>
      <c r="U20" s="567"/>
      <c r="V20" s="545"/>
      <c r="W20" s="514" t="s">
        <v>527</v>
      </c>
      <c r="X20" s="15" t="str">
        <f>IF(C15&lt;&gt;"",CONCATENATE("100(",TEXT($Q$21,"0.000"),"/",TEXT($Q$35,"0.000"),")"),"")</f>
        <v>100(0.078/2.000)</v>
      </c>
      <c r="Y20" s="16"/>
    </row>
    <row r="21" spans="1:25" ht="18" customHeight="1">
      <c r="A21" s="553">
        <v>7</v>
      </c>
      <c r="B21" s="547">
        <v>2</v>
      </c>
      <c r="C21" s="548">
        <v>9</v>
      </c>
      <c r="D21" s="548">
        <v>9.1</v>
      </c>
      <c r="E21" s="548">
        <v>9.75</v>
      </c>
      <c r="F21" s="548">
        <v>9.5</v>
      </c>
      <c r="G21" s="548">
        <v>9.9</v>
      </c>
      <c r="H21" s="548">
        <v>9.9</v>
      </c>
      <c r="I21" s="548">
        <v>9.9</v>
      </c>
      <c r="J21" s="548">
        <v>10.199999999999999</v>
      </c>
      <c r="K21" s="548">
        <v>10.220000000000001</v>
      </c>
      <c r="L21" s="548">
        <v>10.3</v>
      </c>
      <c r="M21" s="51"/>
      <c r="N21" s="549">
        <f t="shared" si="0"/>
        <v>9.7769999999999992</v>
      </c>
      <c r="O21" s="459"/>
      <c r="P21" s="514" t="s">
        <v>527</v>
      </c>
      <c r="Q21" s="569">
        <f>IF(C15="","",IF(($N$33*CHOOSE($J$11,0,T23,U23))^2-$Q$17^2/($H$11*$F$11)&lt;0,0,(($N$33*CHOOSE($J$11,0,T23,U23))^2-$Q$17^2/($H$11*$F$11))^(1/2)))</f>
        <v>7.7711517822551174E-2</v>
      </c>
      <c r="R21" s="15"/>
      <c r="S21" s="15"/>
      <c r="T21" s="15"/>
      <c r="U21" s="567"/>
      <c r="V21" s="545"/>
      <c r="W21" s="514" t="s">
        <v>527</v>
      </c>
      <c r="X21" s="570">
        <f>IF(C15&lt;&gt;"",100*($Q$21/$Q$35),"")</f>
        <v>3.8855758911275586</v>
      </c>
      <c r="Y21" s="16"/>
    </row>
    <row r="22" spans="1:25" ht="18" customHeight="1">
      <c r="A22" s="553">
        <f>A21+1</f>
        <v>8</v>
      </c>
      <c r="B22" s="554">
        <v>3</v>
      </c>
      <c r="C22" s="548">
        <v>9.6999999999999993</v>
      </c>
      <c r="D22" s="548">
        <v>9.15</v>
      </c>
      <c r="E22" s="548">
        <v>9.8000000000000007</v>
      </c>
      <c r="F22" s="548">
        <v>9.6999999999999993</v>
      </c>
      <c r="G22" s="548">
        <v>9.8000000000000007</v>
      </c>
      <c r="H22" s="548">
        <v>9.9</v>
      </c>
      <c r="I22" s="548">
        <v>9.8000000000000007</v>
      </c>
      <c r="J22" s="548">
        <v>10.1</v>
      </c>
      <c r="K22" s="548">
        <v>10.15</v>
      </c>
      <c r="L22" s="548">
        <v>10.1</v>
      </c>
      <c r="M22" s="51"/>
      <c r="N22" s="549">
        <f t="shared" si="0"/>
        <v>9.82</v>
      </c>
      <c r="O22" s="459"/>
      <c r="P22" s="514"/>
      <c r="Q22" s="569"/>
      <c r="R22" s="15"/>
      <c r="S22" s="571" t="s">
        <v>516</v>
      </c>
      <c r="T22" s="42">
        <v>2</v>
      </c>
      <c r="U22" s="42">
        <v>3</v>
      </c>
      <c r="V22" s="499"/>
      <c r="W22" s="51"/>
      <c r="X22" s="51"/>
      <c r="Y22" s="560"/>
    </row>
    <row r="23" spans="1:25" ht="18" customHeight="1">
      <c r="A23" s="553">
        <f>A22+1</f>
        <v>9</v>
      </c>
      <c r="B23" s="554" t="s">
        <v>251</v>
      </c>
      <c r="C23" s="561">
        <f t="shared" ref="C23:L23" si="3">IF(C20&lt;&gt;"",SUM(C20:C22)/COUNT(C20:C22),"")</f>
        <v>9.5333333333333332</v>
      </c>
      <c r="D23" s="561">
        <f t="shared" si="3"/>
        <v>9.1166666666666671</v>
      </c>
      <c r="E23" s="561">
        <f t="shared" si="3"/>
        <v>9.75</v>
      </c>
      <c r="F23" s="561">
        <f t="shared" si="3"/>
        <v>9.6166666666666654</v>
      </c>
      <c r="G23" s="561">
        <f t="shared" si="3"/>
        <v>9.82</v>
      </c>
      <c r="H23" s="561">
        <f t="shared" si="3"/>
        <v>9.8666666666666671</v>
      </c>
      <c r="I23" s="561">
        <f t="shared" si="3"/>
        <v>9.8833333333333346</v>
      </c>
      <c r="J23" s="561">
        <f t="shared" si="3"/>
        <v>10.116666666666667</v>
      </c>
      <c r="K23" s="561">
        <f t="shared" si="3"/>
        <v>10.183333333333332</v>
      </c>
      <c r="L23" s="561">
        <f t="shared" si="3"/>
        <v>10.200000000000001</v>
      </c>
      <c r="M23" s="562" t="s">
        <v>541</v>
      </c>
      <c r="N23" s="549">
        <f t="shared" si="0"/>
        <v>9.8086666666666691</v>
      </c>
      <c r="O23" s="555" t="s">
        <v>542</v>
      </c>
      <c r="P23" s="51"/>
      <c r="Q23" s="51"/>
      <c r="R23" s="51"/>
      <c r="S23" s="572" t="s">
        <v>543</v>
      </c>
      <c r="T23" s="572">
        <v>0.7087</v>
      </c>
      <c r="U23" s="573">
        <v>0.52359999999999995</v>
      </c>
      <c r="V23" s="535"/>
      <c r="W23" s="48"/>
      <c r="X23" s="48"/>
      <c r="Y23" s="536"/>
    </row>
    <row r="24" spans="1:25" ht="18" customHeight="1" thickBot="1">
      <c r="A24" s="563">
        <f>A23+1</f>
        <v>10</v>
      </c>
      <c r="B24" s="564" t="s">
        <v>534</v>
      </c>
      <c r="C24" s="565">
        <f t="shared" ref="C24:L24" si="4">IF(C20&lt;&gt;"",MAX(C20:C22)-MIN(C20:C22),"")</f>
        <v>0.90000000000000036</v>
      </c>
      <c r="D24" s="565">
        <f t="shared" si="4"/>
        <v>5.0000000000000711E-2</v>
      </c>
      <c r="E24" s="565">
        <f t="shared" si="4"/>
        <v>0.10000000000000142</v>
      </c>
      <c r="F24" s="565">
        <f t="shared" si="4"/>
        <v>0.19999999999999929</v>
      </c>
      <c r="G24" s="565">
        <f t="shared" si="4"/>
        <v>0.14000000000000057</v>
      </c>
      <c r="H24" s="565">
        <f t="shared" si="4"/>
        <v>9.9999999999999645E-2</v>
      </c>
      <c r="I24" s="565">
        <f t="shared" si="4"/>
        <v>0.14999999999999858</v>
      </c>
      <c r="J24" s="565">
        <f t="shared" si="4"/>
        <v>0.14999999999999858</v>
      </c>
      <c r="K24" s="565">
        <f t="shared" si="4"/>
        <v>7.0000000000000284E-2</v>
      </c>
      <c r="L24" s="565">
        <f t="shared" si="4"/>
        <v>0.20000000000000107</v>
      </c>
      <c r="M24" s="566" t="s">
        <v>544</v>
      </c>
      <c r="N24" s="549">
        <f t="shared" si="0"/>
        <v>0.20600000000000004</v>
      </c>
      <c r="O24" s="534" t="s">
        <v>545</v>
      </c>
      <c r="P24" s="48"/>
      <c r="Q24" s="48"/>
      <c r="R24" s="48"/>
      <c r="S24" s="48"/>
      <c r="T24" s="48"/>
      <c r="U24" s="506"/>
      <c r="V24" s="545" t="s">
        <v>546</v>
      </c>
      <c r="W24" s="514" t="s">
        <v>527</v>
      </c>
      <c r="X24" s="15" t="s">
        <v>547</v>
      </c>
      <c r="Y24" s="16"/>
    </row>
    <row r="25" spans="1:25" ht="18" customHeight="1">
      <c r="A25" s="537" t="s">
        <v>548</v>
      </c>
      <c r="B25" s="538">
        <v>1</v>
      </c>
      <c r="C25" s="539">
        <v>10.199999999999999</v>
      </c>
      <c r="D25" s="539">
        <v>9.1999999999999993</v>
      </c>
      <c r="E25" s="539">
        <v>9.9</v>
      </c>
      <c r="F25" s="539">
        <v>9.6</v>
      </c>
      <c r="G25" s="539">
        <v>9.6999999999999993</v>
      </c>
      <c r="H25" s="539">
        <v>9.8000000000000007</v>
      </c>
      <c r="I25" s="539">
        <v>9.9499999999999993</v>
      </c>
      <c r="J25" s="539">
        <v>9.9499999999999993</v>
      </c>
      <c r="K25" s="539">
        <v>10.1</v>
      </c>
      <c r="L25" s="539">
        <v>10.199999999999999</v>
      </c>
      <c r="M25" s="540"/>
      <c r="N25" s="541">
        <f t="shared" si="0"/>
        <v>9.86</v>
      </c>
      <c r="O25" s="542" t="s">
        <v>549</v>
      </c>
      <c r="P25" s="514" t="s">
        <v>527</v>
      </c>
      <c r="Q25" s="15" t="s">
        <v>550</v>
      </c>
      <c r="R25" s="15"/>
      <c r="S25" s="15"/>
      <c r="T25" s="42" t="s">
        <v>515</v>
      </c>
      <c r="U25" s="544" t="s">
        <v>551</v>
      </c>
      <c r="V25" s="545"/>
      <c r="W25" s="514" t="s">
        <v>527</v>
      </c>
      <c r="X25" s="15" t="str">
        <f>IF(C15&lt;&gt;"",CONCATENATE("100(",TEXT($Q$27,"0.000"),"/",TEXT($Q$35,"0.000"),")"),"")</f>
        <v>100(0.111/2.000)</v>
      </c>
      <c r="Y25" s="16"/>
    </row>
    <row r="26" spans="1:25" ht="18" customHeight="1">
      <c r="A26" s="553">
        <v>12</v>
      </c>
      <c r="B26" s="547">
        <v>2</v>
      </c>
      <c r="C26" s="548">
        <v>10.1</v>
      </c>
      <c r="D26" s="548">
        <v>9.3000000000000007</v>
      </c>
      <c r="E26" s="548">
        <v>9.9499999999999993</v>
      </c>
      <c r="F26" s="548">
        <v>9.5500000000000007</v>
      </c>
      <c r="G26" s="548">
        <v>9.8000000000000007</v>
      </c>
      <c r="H26" s="548">
        <v>9.8000000000000007</v>
      </c>
      <c r="I26" s="548">
        <v>9.9</v>
      </c>
      <c r="J26" s="548">
        <v>9.9</v>
      </c>
      <c r="K26" s="548">
        <v>10.1</v>
      </c>
      <c r="L26" s="548">
        <v>10.199999999999999</v>
      </c>
      <c r="M26" s="51"/>
      <c r="N26" s="549">
        <f t="shared" si="0"/>
        <v>9.8600000000000012</v>
      </c>
      <c r="O26" s="459"/>
      <c r="P26" s="514" t="s">
        <v>527</v>
      </c>
      <c r="Q26" s="574" t="str">
        <f>IF(C15&lt;&gt;"",CONCATENATE("{(",TEXT($Q$17,"0.000"),"^2 + ",TEXT($Q$21,"0.000"),"^2)}^1/2"),"")</f>
        <v>{(0.080^2 + 0.078^2)}^1/2</v>
      </c>
      <c r="R26" s="15"/>
      <c r="S26" s="15"/>
      <c r="T26" s="550">
        <v>2</v>
      </c>
      <c r="U26" s="575">
        <v>0.7087</v>
      </c>
      <c r="V26" s="545"/>
      <c r="W26" s="514" t="s">
        <v>527</v>
      </c>
      <c r="X26" s="570">
        <f>IF(C15&lt;&gt;"",100*($Q$27/$Q$35),"")</f>
        <v>5.5673748936403307</v>
      </c>
      <c r="Y26" s="16"/>
    </row>
    <row r="27" spans="1:25" ht="18" customHeight="1">
      <c r="A27" s="553">
        <f>A26+1</f>
        <v>13</v>
      </c>
      <c r="B27" s="554">
        <v>3</v>
      </c>
      <c r="C27" s="548">
        <v>10.050000000000001</v>
      </c>
      <c r="D27" s="548">
        <v>9.3000000000000007</v>
      </c>
      <c r="E27" s="548">
        <v>9.6</v>
      </c>
      <c r="F27" s="548">
        <v>9.6999999999999993</v>
      </c>
      <c r="G27" s="548">
        <v>9.8000000000000007</v>
      </c>
      <c r="H27" s="548">
        <v>9.8000000000000007</v>
      </c>
      <c r="I27" s="548">
        <v>9.8000000000000007</v>
      </c>
      <c r="J27" s="548">
        <v>9.8000000000000007</v>
      </c>
      <c r="K27" s="548">
        <v>10.15</v>
      </c>
      <c r="L27" s="548">
        <v>10.1</v>
      </c>
      <c r="M27" s="51"/>
      <c r="N27" s="549">
        <f t="shared" si="0"/>
        <v>9.8099999999999987</v>
      </c>
      <c r="O27" s="555"/>
      <c r="P27" s="556" t="s">
        <v>527</v>
      </c>
      <c r="Q27" s="576">
        <f>IF(C15&lt;&gt;"",($Q$17^2+$Q$21^2)^(1/2),"")</f>
        <v>0.11134749787280662</v>
      </c>
      <c r="R27" s="51"/>
      <c r="S27" s="51"/>
      <c r="T27" s="550">
        <v>3</v>
      </c>
      <c r="U27" s="575">
        <v>0.52359999999999995</v>
      </c>
      <c r="V27" s="577" t="str">
        <f>IF(C16&lt;&gt;"",IF(X26&lt;10,"Gage system O.K",IF(X26&lt;30,"Gage system may be acceptable","Gage system needs improvement")),"")</f>
        <v>Gage system O.K</v>
      </c>
      <c r="W27" s="578"/>
      <c r="X27" s="579"/>
      <c r="Y27" s="580"/>
    </row>
    <row r="28" spans="1:25" ht="18" customHeight="1">
      <c r="A28" s="553">
        <f>A27+1</f>
        <v>14</v>
      </c>
      <c r="B28" s="554" t="s">
        <v>251</v>
      </c>
      <c r="C28" s="561">
        <f t="shared" ref="C28:L28" si="5">IF(C25&lt;&gt;"",SUM(C25:C27)/COUNT(C25:C27),"")</f>
        <v>10.116666666666665</v>
      </c>
      <c r="D28" s="561">
        <f t="shared" si="5"/>
        <v>9.2666666666666675</v>
      </c>
      <c r="E28" s="561">
        <f t="shared" si="5"/>
        <v>9.8166666666666682</v>
      </c>
      <c r="F28" s="561">
        <f t="shared" si="5"/>
        <v>9.6166666666666654</v>
      </c>
      <c r="G28" s="561">
        <f t="shared" si="5"/>
        <v>9.7666666666666675</v>
      </c>
      <c r="H28" s="561">
        <f t="shared" si="5"/>
        <v>9.8000000000000007</v>
      </c>
      <c r="I28" s="561">
        <f t="shared" si="5"/>
        <v>9.8833333333333346</v>
      </c>
      <c r="J28" s="561">
        <f t="shared" si="5"/>
        <v>9.8833333333333346</v>
      </c>
      <c r="K28" s="561">
        <f t="shared" si="5"/>
        <v>10.116666666666667</v>
      </c>
      <c r="L28" s="561">
        <f t="shared" si="5"/>
        <v>10.166666666666666</v>
      </c>
      <c r="M28" s="562" t="s">
        <v>552</v>
      </c>
      <c r="N28" s="549">
        <f t="shared" si="0"/>
        <v>9.8433333333333355</v>
      </c>
      <c r="O28" s="534" t="s">
        <v>553</v>
      </c>
      <c r="P28" s="48"/>
      <c r="Q28" s="48"/>
      <c r="R28" s="48"/>
      <c r="S28" s="48"/>
      <c r="T28" s="550">
        <v>4</v>
      </c>
      <c r="U28" s="575">
        <v>0.44640000000000002</v>
      </c>
      <c r="V28" s="535"/>
      <c r="W28" s="48"/>
      <c r="X28" s="48"/>
      <c r="Y28" s="536"/>
    </row>
    <row r="29" spans="1:25" ht="18" customHeight="1" thickBot="1">
      <c r="A29" s="563">
        <f>A28+1</f>
        <v>15</v>
      </c>
      <c r="B29" s="564" t="s">
        <v>534</v>
      </c>
      <c r="C29" s="565">
        <f t="shared" ref="C29:L29" si="6">IF(C25&lt;&gt;"",MAX(C25:C27)-MIN(C25:C27),"")</f>
        <v>0.14999999999999858</v>
      </c>
      <c r="D29" s="565">
        <f t="shared" si="6"/>
        <v>0.10000000000000142</v>
      </c>
      <c r="E29" s="565">
        <f t="shared" si="6"/>
        <v>0.34999999999999964</v>
      </c>
      <c r="F29" s="565">
        <f t="shared" si="6"/>
        <v>0.14999999999999858</v>
      </c>
      <c r="G29" s="565">
        <f t="shared" si="6"/>
        <v>0.10000000000000142</v>
      </c>
      <c r="H29" s="565">
        <f t="shared" si="6"/>
        <v>0</v>
      </c>
      <c r="I29" s="565">
        <f t="shared" si="6"/>
        <v>0.14999999999999858</v>
      </c>
      <c r="J29" s="565">
        <f t="shared" si="6"/>
        <v>0.14999999999999858</v>
      </c>
      <c r="K29" s="565">
        <f t="shared" si="6"/>
        <v>5.0000000000000711E-2</v>
      </c>
      <c r="L29" s="565">
        <f t="shared" si="6"/>
        <v>9.9999999999999645E-2</v>
      </c>
      <c r="M29" s="566" t="s">
        <v>554</v>
      </c>
      <c r="N29" s="549">
        <f t="shared" si="0"/>
        <v>0.12999999999999973</v>
      </c>
      <c r="O29" s="542" t="s">
        <v>555</v>
      </c>
      <c r="P29" s="514" t="s">
        <v>527</v>
      </c>
      <c r="Q29" s="15" t="s">
        <v>556</v>
      </c>
      <c r="R29" s="15"/>
      <c r="S29" s="15"/>
      <c r="T29" s="550">
        <v>5</v>
      </c>
      <c r="U29" s="575">
        <v>0.4032</v>
      </c>
      <c r="V29" s="545" t="s">
        <v>557</v>
      </c>
      <c r="W29" s="514" t="s">
        <v>527</v>
      </c>
      <c r="X29" s="15" t="s">
        <v>558</v>
      </c>
      <c r="Y29" s="16"/>
    </row>
    <row r="30" spans="1:25" ht="18" customHeight="1">
      <c r="A30" s="581" t="s">
        <v>559</v>
      </c>
      <c r="B30" s="516"/>
      <c r="C30" s="582"/>
      <c r="D30" s="582"/>
      <c r="E30" s="582"/>
      <c r="F30" s="582"/>
      <c r="G30" s="582"/>
      <c r="H30" s="582"/>
      <c r="I30" s="582"/>
      <c r="J30" s="582"/>
      <c r="K30" s="582"/>
      <c r="L30" s="582"/>
      <c r="M30" s="583" t="s">
        <v>560</v>
      </c>
      <c r="N30" s="584">
        <f>IF(C15&lt;&gt;"",AVERAGE(C31:L31),"")</f>
        <v>9.8705555555555584</v>
      </c>
      <c r="O30" s="542"/>
      <c r="P30" s="514" t="s">
        <v>527</v>
      </c>
      <c r="Q30" s="15" t="str">
        <f>IF(C15&lt;&gt;"",CONCATENATE(TEXT($N$31,"0.000")," x ",CHOOSE($H$11,0,U26,U27,U28,U29,U30,U31,U32,U33,U34)),"")</f>
        <v>0.772 x 0.3145</v>
      </c>
      <c r="R30" s="15"/>
      <c r="S30" s="15"/>
      <c r="T30" s="550">
        <v>6</v>
      </c>
      <c r="U30" s="575">
        <v>0.3745</v>
      </c>
      <c r="V30" s="545"/>
      <c r="W30" s="514" t="s">
        <v>527</v>
      </c>
      <c r="X30" s="568" t="str">
        <f>IF(C15&lt;&gt;"",CONCATENATE("100(",TEXT($Q$31,"0.000"),"/",TEXT($Q$35,"0.000"),")"),"")</f>
        <v>100(0.243/2.000)</v>
      </c>
      <c r="Y30" s="16"/>
    </row>
    <row r="31" spans="1:25" ht="18" customHeight="1" thickBot="1">
      <c r="A31" s="585" t="s">
        <v>561</v>
      </c>
      <c r="B31" s="531"/>
      <c r="C31" s="586">
        <f>IF(C18&lt;&gt;"",SUM(C18,C23,C28)/COUNT(C18,C23,C28),"")</f>
        <v>9.8833333333333329</v>
      </c>
      <c r="D31" s="586">
        <f t="shared" ref="D31:L31" si="7">IF(D18&lt;&gt;"",SUM(D18,D23,D28)/COUNT(D18,D23,D28),"")</f>
        <v>9.4333333333333318</v>
      </c>
      <c r="E31" s="586">
        <f t="shared" si="7"/>
        <v>9.7933333333333348</v>
      </c>
      <c r="F31" s="586">
        <f t="shared" si="7"/>
        <v>9.6333333333333329</v>
      </c>
      <c r="G31" s="586">
        <f t="shared" si="7"/>
        <v>9.7899999999999991</v>
      </c>
      <c r="H31" s="586">
        <f t="shared" si="7"/>
        <v>9.844444444444445</v>
      </c>
      <c r="I31" s="586">
        <f t="shared" si="7"/>
        <v>9.9111111111111114</v>
      </c>
      <c r="J31" s="586">
        <f t="shared" si="7"/>
        <v>10.044444444444444</v>
      </c>
      <c r="K31" s="586">
        <f t="shared" si="7"/>
        <v>10.166666666666666</v>
      </c>
      <c r="L31" s="586">
        <f t="shared" si="7"/>
        <v>10.205555555555556</v>
      </c>
      <c r="M31" s="587" t="s">
        <v>562</v>
      </c>
      <c r="N31" s="588">
        <f>IF(C15&lt;&gt;"",MAX(C31:L31)-MIN(C31:L31),"")</f>
        <v>0.77222222222222392</v>
      </c>
      <c r="O31" s="589"/>
      <c r="P31" s="556" t="s">
        <v>527</v>
      </c>
      <c r="Q31" s="576">
        <f>IF(C15&lt;&gt;"",$N$31*CHOOSE($H$11,0,U26,U27,U28,U29,U30,U31,U32,U33,U34),"")</f>
        <v>0.24286388888888943</v>
      </c>
      <c r="R31" s="51"/>
      <c r="S31" s="51"/>
      <c r="T31" s="550">
        <v>7</v>
      </c>
      <c r="U31" s="575">
        <v>0.35339999999999999</v>
      </c>
      <c r="V31" s="545"/>
      <c r="W31" s="514" t="s">
        <v>527</v>
      </c>
      <c r="X31" s="590">
        <f>IF(C15&lt;&gt;"",100*($Q$31/$Q$35),"")</f>
        <v>12.143194444444472</v>
      </c>
      <c r="Y31" s="16"/>
    </row>
    <row r="32" spans="1:25" ht="18" customHeight="1">
      <c r="A32" s="591">
        <f>A29+2</f>
        <v>17</v>
      </c>
      <c r="B32" s="540" t="s">
        <v>563</v>
      </c>
      <c r="C32" s="540"/>
      <c r="D32" s="540"/>
      <c r="E32" s="540"/>
      <c r="F32" s="540"/>
      <c r="G32" s="540"/>
      <c r="H32" s="540"/>
      <c r="I32" s="540"/>
      <c r="J32" s="540"/>
      <c r="K32" s="540"/>
      <c r="L32" s="540"/>
      <c r="M32" s="592" t="s">
        <v>564</v>
      </c>
      <c r="N32" s="541">
        <f>IF(C15&lt;&gt;"",SUM(N19,N24,N29)/COUNT(C15,C20,C25),"")</f>
        <v>0.13499999999999984</v>
      </c>
      <c r="O32" s="593" t="s">
        <v>565</v>
      </c>
      <c r="P32" s="48"/>
      <c r="Q32" s="48"/>
      <c r="R32" s="48"/>
      <c r="S32" s="48"/>
      <c r="T32" s="550">
        <v>8</v>
      </c>
      <c r="U32" s="575">
        <v>0.33779999999999999</v>
      </c>
      <c r="V32" s="499"/>
      <c r="W32" s="51"/>
      <c r="X32" s="51"/>
      <c r="Y32" s="560"/>
    </row>
    <row r="33" spans="1:25" ht="18" customHeight="1">
      <c r="A33" s="594">
        <f>A32+1</f>
        <v>18</v>
      </c>
      <c r="B33" s="595" t="s">
        <v>566</v>
      </c>
      <c r="C33" s="596"/>
      <c r="D33" s="596"/>
      <c r="E33" s="596"/>
      <c r="F33" s="596"/>
      <c r="G33" s="596"/>
      <c r="H33" s="596"/>
      <c r="I33" s="596"/>
      <c r="J33" s="596"/>
      <c r="K33" s="596"/>
      <c r="L33" s="596"/>
      <c r="M33" s="597" t="s">
        <v>567</v>
      </c>
      <c r="N33" s="598">
        <f>IF(C15&lt;&gt;"",MAX(N18,N23,N28)-MIN(N18,N23,N28),"")</f>
        <v>0.15099999999999625</v>
      </c>
      <c r="O33" s="545" t="s">
        <v>568</v>
      </c>
      <c r="P33" s="514" t="s">
        <v>527</v>
      </c>
      <c r="Q33" s="15" t="s">
        <v>569</v>
      </c>
      <c r="R33" s="15"/>
      <c r="S33" s="15"/>
      <c r="T33" s="550">
        <v>9</v>
      </c>
      <c r="U33" s="575">
        <v>0.32469999999999999</v>
      </c>
      <c r="V33" s="545" t="s">
        <v>570</v>
      </c>
      <c r="W33" s="514" t="s">
        <v>527</v>
      </c>
      <c r="X33" s="15" t="s">
        <v>571</v>
      </c>
      <c r="Y33" s="16"/>
    </row>
    <row r="34" spans="1:25" ht="18" customHeight="1">
      <c r="A34" s="594">
        <f>A33+1</f>
        <v>19</v>
      </c>
      <c r="B34" s="599" t="s">
        <v>572</v>
      </c>
      <c r="C34" s="596"/>
      <c r="D34" s="596"/>
      <c r="E34" s="600" t="str">
        <f>IF(C15="","",IF(OR(G34&lt;&gt;"",H34&lt;&gt;"",I34&lt;&gt;""),"APPRAISER",""))</f>
        <v>APPRAISER</v>
      </c>
      <c r="F34" s="601"/>
      <c r="G34" s="602" t="str">
        <f>IF(C15="","",IF(OR(AND($C19&lt;&gt;"",$C19&gt;$N$34),AND($D19&lt;&gt;"",$D19&gt;$N$34),AND($E19&lt;&gt;"",$E19&gt;$N$34),AND($F19&lt;&gt;"",$F19&gt;$N$34),AND($G19&lt;&gt;"",$G19&gt;$N$34),AND($H19&lt;&gt;"",$H19&gt;$N$34),AND($I19&lt;&gt;"",$I19&gt;$N$34),AND($J19&lt;&gt;"",$J19&gt;$N$34),AND($K19&lt;&gt;"",$K19&gt;$N$34),AND($L19&lt;&gt;"",$L19&gt;$N$34)),"A",""))</f>
        <v/>
      </c>
      <c r="H34" s="602" t="str">
        <f>IF(C15="","",IF(OR(AND($C24&lt;&gt;"",$C24&gt;$N$34),AND($D24&lt;&gt;"",$D24&gt;$N$34),AND($E24&lt;&gt;"",$E24&gt;$N$34),AND($F24&lt;&gt;"",$F24&gt;$N$34),AND($G24&lt;&gt;"",$G24&gt;$N$34),AND($H24&lt;&gt;"",$H24&gt;$N$34),AND($I24&lt;&gt;"",$I24&gt;$N$34),AND($J24&lt;&gt;"",$J24&gt;$N$34),AND($K24&lt;&gt;"",$K24&gt;$N$34),AND($L24&lt;&gt;"",$L24&gt;$N$34)),"B",""))</f>
        <v>B</v>
      </c>
      <c r="I34" s="602" t="str">
        <f>IF(C15="","",IF(OR(AND($C29&lt;&gt;"",$C29&gt;$N$34),AND($D29&lt;&gt;"",$D29&gt;$N$34),AND($E29&lt;&gt;"",$E29&gt;$N$34),AND($F29&lt;&gt;"",$F29&gt;$N$34),AND($G29&lt;&gt;"",$G29&gt;$N$34),AND($H29&lt;&gt;"",$H29&gt;$N$34),AND($I29&lt;&gt;"",$I29&gt;$N$34),AND($J29&lt;&gt;"",$J29&gt;$N$34),AND($K29&lt;&gt;"",$K29&gt;$N$34),AND($L29&lt;&gt;"",$L29&gt;$N$34)),"C",""))</f>
        <v>C</v>
      </c>
      <c r="J34" s="601" t="str">
        <f>IF(C15="","",IF(OR(G34&lt;&gt;"",H34&lt;&gt;"",I34&lt;&gt;""),"OUT OF CONTROL",""))</f>
        <v>OUT OF CONTROL</v>
      </c>
      <c r="K34" s="596"/>
      <c r="L34" s="596"/>
      <c r="M34" s="603" t="s">
        <v>573</v>
      </c>
      <c r="N34" s="598">
        <f>IF(C15&lt;&gt;"",IF(F11=3,2.58*N32,3.27*N32),"")</f>
        <v>0.34829999999999961</v>
      </c>
      <c r="O34" s="545"/>
      <c r="P34" s="604" t="s">
        <v>527</v>
      </c>
      <c r="Q34" s="570">
        <f>E9-D9</f>
        <v>2</v>
      </c>
      <c r="R34" s="15"/>
      <c r="S34" s="15"/>
      <c r="T34" s="558">
        <v>10</v>
      </c>
      <c r="U34" s="605">
        <v>0.3145</v>
      </c>
      <c r="V34" s="606"/>
      <c r="W34" s="604" t="s">
        <v>527</v>
      </c>
      <c r="X34" s="568" t="str">
        <f>IF(C15&lt;&gt;"",CONCATENATE("1.41(",TEXT($Q$31,"0.000"),"/",TEXT($Q$27,"0.000"),")"),"")</f>
        <v>1.41(0.243/0.111)</v>
      </c>
      <c r="Y34" s="16"/>
    </row>
    <row r="35" spans="1:25" ht="18" customHeight="1">
      <c r="A35" s="607"/>
      <c r="B35" s="48"/>
      <c r="C35" s="48"/>
      <c r="D35" s="48"/>
      <c r="E35" s="48"/>
      <c r="F35" s="48"/>
      <c r="G35" s="48"/>
      <c r="H35" s="48"/>
      <c r="I35" s="48"/>
      <c r="J35" s="48"/>
      <c r="K35" s="48"/>
      <c r="L35" s="48"/>
      <c r="M35" s="48"/>
      <c r="N35" s="536"/>
      <c r="O35" s="542"/>
      <c r="P35" s="604" t="s">
        <v>527</v>
      </c>
      <c r="Q35" s="576">
        <f>Q34</f>
        <v>2</v>
      </c>
      <c r="R35" s="15"/>
      <c r="S35" s="15"/>
      <c r="T35" s="15"/>
      <c r="U35" s="506"/>
      <c r="V35" s="15"/>
      <c r="W35" s="604" t="s">
        <v>527</v>
      </c>
      <c r="X35" s="608">
        <v>3</v>
      </c>
      <c r="Y35" s="16"/>
    </row>
    <row r="36" spans="1:25" ht="18" customHeight="1">
      <c r="A36" s="609" t="s">
        <v>574</v>
      </c>
      <c r="B36" s="15"/>
      <c r="C36" s="15"/>
      <c r="D36" s="15"/>
      <c r="E36" s="15"/>
      <c r="F36" s="15"/>
      <c r="G36" s="15"/>
      <c r="H36" s="15"/>
      <c r="I36" s="15"/>
      <c r="J36" s="15"/>
      <c r="K36" s="15"/>
      <c r="L36" s="15"/>
      <c r="M36" s="15"/>
      <c r="N36" s="16"/>
      <c r="O36" s="589"/>
      <c r="P36" s="610"/>
      <c r="Q36" s="557"/>
      <c r="R36" s="51"/>
      <c r="S36" s="51"/>
      <c r="T36" s="51"/>
      <c r="U36" s="500"/>
      <c r="V36" s="703" t="str">
        <f>IF(X35&lt;&gt;"",IF(X35&lt;5,"Gage discrimination low","Gage discrimination acceptable"),"")</f>
        <v>Gage discrimination low</v>
      </c>
      <c r="W36" s="704"/>
      <c r="X36" s="704"/>
      <c r="Y36" s="705"/>
    </row>
    <row r="37" spans="1:25">
      <c r="A37" s="609" t="s">
        <v>575</v>
      </c>
      <c r="B37" s="15"/>
      <c r="C37" s="15"/>
      <c r="D37" s="15"/>
      <c r="E37" s="15"/>
      <c r="F37" s="15"/>
      <c r="G37" s="15"/>
      <c r="H37" s="15"/>
      <c r="I37" s="15"/>
      <c r="J37" s="15"/>
      <c r="K37" s="15"/>
      <c r="L37" s="15"/>
      <c r="M37" s="15"/>
      <c r="N37" s="16"/>
      <c r="O37" s="609"/>
      <c r="P37" s="15"/>
      <c r="Q37" s="15"/>
      <c r="R37" s="15"/>
      <c r="S37" s="15"/>
      <c r="T37" s="15"/>
      <c r="U37" s="15"/>
      <c r="V37" s="15"/>
      <c r="W37" s="15"/>
      <c r="X37" s="15"/>
      <c r="Y37" s="16"/>
    </row>
    <row r="38" spans="1:25">
      <c r="A38" s="609" t="s">
        <v>576</v>
      </c>
      <c r="B38" s="15"/>
      <c r="C38" s="15"/>
      <c r="D38" s="15"/>
      <c r="E38" s="15"/>
      <c r="F38" s="15"/>
      <c r="G38" s="15"/>
      <c r="H38" s="15"/>
      <c r="I38" s="15"/>
      <c r="J38" s="15"/>
      <c r="K38" s="15"/>
      <c r="L38" s="15"/>
      <c r="M38" s="15"/>
      <c r="N38" s="16"/>
      <c r="O38" s="459" t="s">
        <v>577</v>
      </c>
      <c r="P38" s="15"/>
      <c r="Q38" s="15"/>
      <c r="R38" s="15"/>
      <c r="S38" s="15"/>
      <c r="T38" s="15"/>
      <c r="U38" s="15"/>
      <c r="V38" s="15"/>
      <c r="W38" s="15"/>
      <c r="X38" s="15"/>
      <c r="Y38" s="16"/>
    </row>
    <row r="39" spans="1:25" ht="15.75" thickBot="1">
      <c r="A39" s="459"/>
      <c r="B39" s="15"/>
      <c r="C39" s="15"/>
      <c r="D39" s="15"/>
      <c r="E39" s="15"/>
      <c r="F39" s="15"/>
      <c r="G39" s="15"/>
      <c r="H39" s="15"/>
      <c r="I39" s="15"/>
      <c r="J39" s="15"/>
      <c r="K39" s="15"/>
      <c r="L39" s="15"/>
      <c r="M39" s="15"/>
      <c r="N39" s="16"/>
      <c r="O39" s="18"/>
      <c r="P39" s="611"/>
      <c r="Q39" s="19"/>
      <c r="R39" s="19"/>
      <c r="S39" s="19"/>
      <c r="T39" s="19"/>
      <c r="U39" s="19"/>
      <c r="V39" s="19"/>
      <c r="W39" s="19"/>
      <c r="X39" s="19"/>
      <c r="Y39" s="20"/>
    </row>
    <row r="40" spans="1:25">
      <c r="A40" s="609" t="s">
        <v>578</v>
      </c>
      <c r="B40" s="51"/>
      <c r="C40" s="51"/>
      <c r="D40" s="51"/>
      <c r="E40" s="51"/>
      <c r="F40" s="51"/>
      <c r="G40" s="51"/>
      <c r="H40" s="51"/>
      <c r="I40" s="51"/>
      <c r="J40" s="51"/>
      <c r="K40" s="51"/>
      <c r="L40" s="51"/>
      <c r="M40" s="51"/>
      <c r="N40" s="560"/>
      <c r="O40" s="498"/>
    </row>
    <row r="41" spans="1:25">
      <c r="A41" s="609"/>
      <c r="B41" s="51"/>
      <c r="C41" s="51"/>
      <c r="D41" s="51"/>
      <c r="E41" s="51"/>
      <c r="F41" s="51"/>
      <c r="G41" s="51"/>
      <c r="H41" s="51"/>
      <c r="I41" s="51"/>
      <c r="J41" s="51"/>
      <c r="K41" s="51"/>
      <c r="L41" s="51"/>
      <c r="M41" s="51"/>
      <c r="N41" s="560"/>
      <c r="O41" s="498"/>
    </row>
    <row r="42" spans="1:25" ht="15.75" thickBot="1">
      <c r="A42" s="18"/>
      <c r="B42" s="19"/>
      <c r="C42" s="19"/>
      <c r="D42" s="19"/>
      <c r="E42" s="19"/>
      <c r="F42" s="19"/>
      <c r="G42" s="19"/>
      <c r="H42" s="19"/>
      <c r="I42" s="19"/>
      <c r="J42" s="19"/>
      <c r="K42" s="19"/>
      <c r="L42" s="19"/>
      <c r="M42" s="19"/>
      <c r="N42" s="20"/>
      <c r="O42" s="498"/>
    </row>
  </sheetData>
  <mergeCells count="1">
    <mergeCell ref="V36:Y36"/>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2"/>
  <sheetViews>
    <sheetView tabSelected="1" topLeftCell="A97" workbookViewId="0">
      <selection activeCell="R110" sqref="R110"/>
    </sheetView>
  </sheetViews>
  <sheetFormatPr defaultRowHeight="15"/>
  <cols>
    <col min="1" max="1" width="7.5703125" customWidth="1"/>
    <col min="2" max="2" width="4.85546875" customWidth="1"/>
    <col min="3" max="12" width="6.28515625" customWidth="1"/>
    <col min="13" max="13" width="5.28515625" customWidth="1"/>
    <col min="15" max="21" width="7.7109375" customWidth="1"/>
    <col min="22" max="22" width="9.28515625" customWidth="1"/>
    <col min="23" max="23" width="8.28515625" customWidth="1"/>
    <col min="24" max="25" width="9.28515625" customWidth="1"/>
    <col min="257" max="257" width="7.5703125" customWidth="1"/>
    <col min="258" max="258" width="4.85546875" customWidth="1"/>
    <col min="259" max="268" width="6.28515625" customWidth="1"/>
    <col min="269" max="269" width="5.28515625" customWidth="1"/>
    <col min="271" max="277" width="7.7109375" customWidth="1"/>
    <col min="278" max="278" width="9.28515625" customWidth="1"/>
    <col min="279" max="279" width="8.28515625" customWidth="1"/>
    <col min="280" max="281" width="9.28515625" customWidth="1"/>
    <col min="513" max="513" width="7.5703125" customWidth="1"/>
    <col min="514" max="514" width="4.85546875" customWidth="1"/>
    <col min="515" max="524" width="6.28515625" customWidth="1"/>
    <col min="525" max="525" width="5.28515625" customWidth="1"/>
    <col min="527" max="533" width="7.7109375" customWidth="1"/>
    <col min="534" max="534" width="9.28515625" customWidth="1"/>
    <col min="535" max="535" width="8.28515625" customWidth="1"/>
    <col min="536" max="537" width="9.28515625" customWidth="1"/>
    <col min="769" max="769" width="7.5703125" customWidth="1"/>
    <col min="770" max="770" width="4.85546875" customWidth="1"/>
    <col min="771" max="780" width="6.28515625" customWidth="1"/>
    <col min="781" max="781" width="5.28515625" customWidth="1"/>
    <col min="783" max="789" width="7.7109375" customWidth="1"/>
    <col min="790" max="790" width="9.28515625" customWidth="1"/>
    <col min="791" max="791" width="8.28515625" customWidth="1"/>
    <col min="792" max="793" width="9.28515625" customWidth="1"/>
    <col min="1025" max="1025" width="7.5703125" customWidth="1"/>
    <col min="1026" max="1026" width="4.85546875" customWidth="1"/>
    <col min="1027" max="1036" width="6.28515625" customWidth="1"/>
    <col min="1037" max="1037" width="5.28515625" customWidth="1"/>
    <col min="1039" max="1045" width="7.7109375" customWidth="1"/>
    <col min="1046" max="1046" width="9.28515625" customWidth="1"/>
    <col min="1047" max="1047" width="8.28515625" customWidth="1"/>
    <col min="1048" max="1049" width="9.28515625" customWidth="1"/>
    <col min="1281" max="1281" width="7.5703125" customWidth="1"/>
    <col min="1282" max="1282" width="4.85546875" customWidth="1"/>
    <col min="1283" max="1292" width="6.28515625" customWidth="1"/>
    <col min="1293" max="1293" width="5.28515625" customWidth="1"/>
    <col min="1295" max="1301" width="7.7109375" customWidth="1"/>
    <col min="1302" max="1302" width="9.28515625" customWidth="1"/>
    <col min="1303" max="1303" width="8.28515625" customWidth="1"/>
    <col min="1304" max="1305" width="9.28515625" customWidth="1"/>
    <col min="1537" max="1537" width="7.5703125" customWidth="1"/>
    <col min="1538" max="1538" width="4.85546875" customWidth="1"/>
    <col min="1539" max="1548" width="6.28515625" customWidth="1"/>
    <col min="1549" max="1549" width="5.28515625" customWidth="1"/>
    <col min="1551" max="1557" width="7.7109375" customWidth="1"/>
    <col min="1558" max="1558" width="9.28515625" customWidth="1"/>
    <col min="1559" max="1559" width="8.28515625" customWidth="1"/>
    <col min="1560" max="1561" width="9.28515625" customWidth="1"/>
    <col min="1793" max="1793" width="7.5703125" customWidth="1"/>
    <col min="1794" max="1794" width="4.85546875" customWidth="1"/>
    <col min="1795" max="1804" width="6.28515625" customWidth="1"/>
    <col min="1805" max="1805" width="5.28515625" customWidth="1"/>
    <col min="1807" max="1813" width="7.7109375" customWidth="1"/>
    <col min="1814" max="1814" width="9.28515625" customWidth="1"/>
    <col min="1815" max="1815" width="8.28515625" customWidth="1"/>
    <col min="1816" max="1817" width="9.28515625" customWidth="1"/>
    <col min="2049" max="2049" width="7.5703125" customWidth="1"/>
    <col min="2050" max="2050" width="4.85546875" customWidth="1"/>
    <col min="2051" max="2060" width="6.28515625" customWidth="1"/>
    <col min="2061" max="2061" width="5.28515625" customWidth="1"/>
    <col min="2063" max="2069" width="7.7109375" customWidth="1"/>
    <col min="2070" max="2070" width="9.28515625" customWidth="1"/>
    <col min="2071" max="2071" width="8.28515625" customWidth="1"/>
    <col min="2072" max="2073" width="9.28515625" customWidth="1"/>
    <col min="2305" max="2305" width="7.5703125" customWidth="1"/>
    <col min="2306" max="2306" width="4.85546875" customWidth="1"/>
    <col min="2307" max="2316" width="6.28515625" customWidth="1"/>
    <col min="2317" max="2317" width="5.28515625" customWidth="1"/>
    <col min="2319" max="2325" width="7.7109375" customWidth="1"/>
    <col min="2326" max="2326" width="9.28515625" customWidth="1"/>
    <col min="2327" max="2327" width="8.28515625" customWidth="1"/>
    <col min="2328" max="2329" width="9.28515625" customWidth="1"/>
    <col min="2561" max="2561" width="7.5703125" customWidth="1"/>
    <col min="2562" max="2562" width="4.85546875" customWidth="1"/>
    <col min="2563" max="2572" width="6.28515625" customWidth="1"/>
    <col min="2573" max="2573" width="5.28515625" customWidth="1"/>
    <col min="2575" max="2581" width="7.7109375" customWidth="1"/>
    <col min="2582" max="2582" width="9.28515625" customWidth="1"/>
    <col min="2583" max="2583" width="8.28515625" customWidth="1"/>
    <col min="2584" max="2585" width="9.28515625" customWidth="1"/>
    <col min="2817" max="2817" width="7.5703125" customWidth="1"/>
    <col min="2818" max="2818" width="4.85546875" customWidth="1"/>
    <col min="2819" max="2828" width="6.28515625" customWidth="1"/>
    <col min="2829" max="2829" width="5.28515625" customWidth="1"/>
    <col min="2831" max="2837" width="7.7109375" customWidth="1"/>
    <col min="2838" max="2838" width="9.28515625" customWidth="1"/>
    <col min="2839" max="2839" width="8.28515625" customWidth="1"/>
    <col min="2840" max="2841" width="9.28515625" customWidth="1"/>
    <col min="3073" max="3073" width="7.5703125" customWidth="1"/>
    <col min="3074" max="3074" width="4.85546875" customWidth="1"/>
    <col min="3075" max="3084" width="6.28515625" customWidth="1"/>
    <col min="3085" max="3085" width="5.28515625" customWidth="1"/>
    <col min="3087" max="3093" width="7.7109375" customWidth="1"/>
    <col min="3094" max="3094" width="9.28515625" customWidth="1"/>
    <col min="3095" max="3095" width="8.28515625" customWidth="1"/>
    <col min="3096" max="3097" width="9.28515625" customWidth="1"/>
    <col min="3329" max="3329" width="7.5703125" customWidth="1"/>
    <col min="3330" max="3330" width="4.85546875" customWidth="1"/>
    <col min="3331" max="3340" width="6.28515625" customWidth="1"/>
    <col min="3341" max="3341" width="5.28515625" customWidth="1"/>
    <col min="3343" max="3349" width="7.7109375" customWidth="1"/>
    <col min="3350" max="3350" width="9.28515625" customWidth="1"/>
    <col min="3351" max="3351" width="8.28515625" customWidth="1"/>
    <col min="3352" max="3353" width="9.28515625" customWidth="1"/>
    <col min="3585" max="3585" width="7.5703125" customWidth="1"/>
    <col min="3586" max="3586" width="4.85546875" customWidth="1"/>
    <col min="3587" max="3596" width="6.28515625" customWidth="1"/>
    <col min="3597" max="3597" width="5.28515625" customWidth="1"/>
    <col min="3599" max="3605" width="7.7109375" customWidth="1"/>
    <col min="3606" max="3606" width="9.28515625" customWidth="1"/>
    <col min="3607" max="3607" width="8.28515625" customWidth="1"/>
    <col min="3608" max="3609" width="9.28515625" customWidth="1"/>
    <col min="3841" max="3841" width="7.5703125" customWidth="1"/>
    <col min="3842" max="3842" width="4.85546875" customWidth="1"/>
    <col min="3843" max="3852" width="6.28515625" customWidth="1"/>
    <col min="3853" max="3853" width="5.28515625" customWidth="1"/>
    <col min="3855" max="3861" width="7.7109375" customWidth="1"/>
    <col min="3862" max="3862" width="9.28515625" customWidth="1"/>
    <col min="3863" max="3863" width="8.28515625" customWidth="1"/>
    <col min="3864" max="3865" width="9.28515625" customWidth="1"/>
    <col min="4097" max="4097" width="7.5703125" customWidth="1"/>
    <col min="4098" max="4098" width="4.85546875" customWidth="1"/>
    <col min="4099" max="4108" width="6.28515625" customWidth="1"/>
    <col min="4109" max="4109" width="5.28515625" customWidth="1"/>
    <col min="4111" max="4117" width="7.7109375" customWidth="1"/>
    <col min="4118" max="4118" width="9.28515625" customWidth="1"/>
    <col min="4119" max="4119" width="8.28515625" customWidth="1"/>
    <col min="4120" max="4121" width="9.28515625" customWidth="1"/>
    <col min="4353" max="4353" width="7.5703125" customWidth="1"/>
    <col min="4354" max="4354" width="4.85546875" customWidth="1"/>
    <col min="4355" max="4364" width="6.28515625" customWidth="1"/>
    <col min="4365" max="4365" width="5.28515625" customWidth="1"/>
    <col min="4367" max="4373" width="7.7109375" customWidth="1"/>
    <col min="4374" max="4374" width="9.28515625" customWidth="1"/>
    <col min="4375" max="4375" width="8.28515625" customWidth="1"/>
    <col min="4376" max="4377" width="9.28515625" customWidth="1"/>
    <col min="4609" max="4609" width="7.5703125" customWidth="1"/>
    <col min="4610" max="4610" width="4.85546875" customWidth="1"/>
    <col min="4611" max="4620" width="6.28515625" customWidth="1"/>
    <col min="4621" max="4621" width="5.28515625" customWidth="1"/>
    <col min="4623" max="4629" width="7.7109375" customWidth="1"/>
    <col min="4630" max="4630" width="9.28515625" customWidth="1"/>
    <col min="4631" max="4631" width="8.28515625" customWidth="1"/>
    <col min="4632" max="4633" width="9.28515625" customWidth="1"/>
    <col min="4865" max="4865" width="7.5703125" customWidth="1"/>
    <col min="4866" max="4866" width="4.85546875" customWidth="1"/>
    <col min="4867" max="4876" width="6.28515625" customWidth="1"/>
    <col min="4877" max="4877" width="5.28515625" customWidth="1"/>
    <col min="4879" max="4885" width="7.7109375" customWidth="1"/>
    <col min="4886" max="4886" width="9.28515625" customWidth="1"/>
    <col min="4887" max="4887" width="8.28515625" customWidth="1"/>
    <col min="4888" max="4889" width="9.28515625" customWidth="1"/>
    <col min="5121" max="5121" width="7.5703125" customWidth="1"/>
    <col min="5122" max="5122" width="4.85546875" customWidth="1"/>
    <col min="5123" max="5132" width="6.28515625" customWidth="1"/>
    <col min="5133" max="5133" width="5.28515625" customWidth="1"/>
    <col min="5135" max="5141" width="7.7109375" customWidth="1"/>
    <col min="5142" max="5142" width="9.28515625" customWidth="1"/>
    <col min="5143" max="5143" width="8.28515625" customWidth="1"/>
    <col min="5144" max="5145" width="9.28515625" customWidth="1"/>
    <col min="5377" max="5377" width="7.5703125" customWidth="1"/>
    <col min="5378" max="5378" width="4.85546875" customWidth="1"/>
    <col min="5379" max="5388" width="6.28515625" customWidth="1"/>
    <col min="5389" max="5389" width="5.28515625" customWidth="1"/>
    <col min="5391" max="5397" width="7.7109375" customWidth="1"/>
    <col min="5398" max="5398" width="9.28515625" customWidth="1"/>
    <col min="5399" max="5399" width="8.28515625" customWidth="1"/>
    <col min="5400" max="5401" width="9.28515625" customWidth="1"/>
    <col min="5633" max="5633" width="7.5703125" customWidth="1"/>
    <col min="5634" max="5634" width="4.85546875" customWidth="1"/>
    <col min="5635" max="5644" width="6.28515625" customWidth="1"/>
    <col min="5645" max="5645" width="5.28515625" customWidth="1"/>
    <col min="5647" max="5653" width="7.7109375" customWidth="1"/>
    <col min="5654" max="5654" width="9.28515625" customWidth="1"/>
    <col min="5655" max="5655" width="8.28515625" customWidth="1"/>
    <col min="5656" max="5657" width="9.28515625" customWidth="1"/>
    <col min="5889" max="5889" width="7.5703125" customWidth="1"/>
    <col min="5890" max="5890" width="4.85546875" customWidth="1"/>
    <col min="5891" max="5900" width="6.28515625" customWidth="1"/>
    <col min="5901" max="5901" width="5.28515625" customWidth="1"/>
    <col min="5903" max="5909" width="7.7109375" customWidth="1"/>
    <col min="5910" max="5910" width="9.28515625" customWidth="1"/>
    <col min="5911" max="5911" width="8.28515625" customWidth="1"/>
    <col min="5912" max="5913" width="9.28515625" customWidth="1"/>
    <col min="6145" max="6145" width="7.5703125" customWidth="1"/>
    <col min="6146" max="6146" width="4.85546875" customWidth="1"/>
    <col min="6147" max="6156" width="6.28515625" customWidth="1"/>
    <col min="6157" max="6157" width="5.28515625" customWidth="1"/>
    <col min="6159" max="6165" width="7.7109375" customWidth="1"/>
    <col min="6166" max="6166" width="9.28515625" customWidth="1"/>
    <col min="6167" max="6167" width="8.28515625" customWidth="1"/>
    <col min="6168" max="6169" width="9.28515625" customWidth="1"/>
    <col min="6401" max="6401" width="7.5703125" customWidth="1"/>
    <col min="6402" max="6402" width="4.85546875" customWidth="1"/>
    <col min="6403" max="6412" width="6.28515625" customWidth="1"/>
    <col min="6413" max="6413" width="5.28515625" customWidth="1"/>
    <col min="6415" max="6421" width="7.7109375" customWidth="1"/>
    <col min="6422" max="6422" width="9.28515625" customWidth="1"/>
    <col min="6423" max="6423" width="8.28515625" customWidth="1"/>
    <col min="6424" max="6425" width="9.28515625" customWidth="1"/>
    <col min="6657" max="6657" width="7.5703125" customWidth="1"/>
    <col min="6658" max="6658" width="4.85546875" customWidth="1"/>
    <col min="6659" max="6668" width="6.28515625" customWidth="1"/>
    <col min="6669" max="6669" width="5.28515625" customWidth="1"/>
    <col min="6671" max="6677" width="7.7109375" customWidth="1"/>
    <col min="6678" max="6678" width="9.28515625" customWidth="1"/>
    <col min="6679" max="6679" width="8.28515625" customWidth="1"/>
    <col min="6680" max="6681" width="9.28515625" customWidth="1"/>
    <col min="6913" max="6913" width="7.5703125" customWidth="1"/>
    <col min="6914" max="6914" width="4.85546875" customWidth="1"/>
    <col min="6915" max="6924" width="6.28515625" customWidth="1"/>
    <col min="6925" max="6925" width="5.28515625" customWidth="1"/>
    <col min="6927" max="6933" width="7.7109375" customWidth="1"/>
    <col min="6934" max="6934" width="9.28515625" customWidth="1"/>
    <col min="6935" max="6935" width="8.28515625" customWidth="1"/>
    <col min="6936" max="6937" width="9.28515625" customWidth="1"/>
    <col min="7169" max="7169" width="7.5703125" customWidth="1"/>
    <col min="7170" max="7170" width="4.85546875" customWidth="1"/>
    <col min="7171" max="7180" width="6.28515625" customWidth="1"/>
    <col min="7181" max="7181" width="5.28515625" customWidth="1"/>
    <col min="7183" max="7189" width="7.7109375" customWidth="1"/>
    <col min="7190" max="7190" width="9.28515625" customWidth="1"/>
    <col min="7191" max="7191" width="8.28515625" customWidth="1"/>
    <col min="7192" max="7193" width="9.28515625" customWidth="1"/>
    <col min="7425" max="7425" width="7.5703125" customWidth="1"/>
    <col min="7426" max="7426" width="4.85546875" customWidth="1"/>
    <col min="7427" max="7436" width="6.28515625" customWidth="1"/>
    <col min="7437" max="7437" width="5.28515625" customWidth="1"/>
    <col min="7439" max="7445" width="7.7109375" customWidth="1"/>
    <col min="7446" max="7446" width="9.28515625" customWidth="1"/>
    <col min="7447" max="7447" width="8.28515625" customWidth="1"/>
    <col min="7448" max="7449" width="9.28515625" customWidth="1"/>
    <col min="7681" max="7681" width="7.5703125" customWidth="1"/>
    <col min="7682" max="7682" width="4.85546875" customWidth="1"/>
    <col min="7683" max="7692" width="6.28515625" customWidth="1"/>
    <col min="7693" max="7693" width="5.28515625" customWidth="1"/>
    <col min="7695" max="7701" width="7.7109375" customWidth="1"/>
    <col min="7702" max="7702" width="9.28515625" customWidth="1"/>
    <col min="7703" max="7703" width="8.28515625" customWidth="1"/>
    <col min="7704" max="7705" width="9.28515625" customWidth="1"/>
    <col min="7937" max="7937" width="7.5703125" customWidth="1"/>
    <col min="7938" max="7938" width="4.85546875" customWidth="1"/>
    <col min="7939" max="7948" width="6.28515625" customWidth="1"/>
    <col min="7949" max="7949" width="5.28515625" customWidth="1"/>
    <col min="7951" max="7957" width="7.7109375" customWidth="1"/>
    <col min="7958" max="7958" width="9.28515625" customWidth="1"/>
    <col min="7959" max="7959" width="8.28515625" customWidth="1"/>
    <col min="7960" max="7961" width="9.28515625" customWidth="1"/>
    <col min="8193" max="8193" width="7.5703125" customWidth="1"/>
    <col min="8194" max="8194" width="4.85546875" customWidth="1"/>
    <col min="8195" max="8204" width="6.28515625" customWidth="1"/>
    <col min="8205" max="8205" width="5.28515625" customWidth="1"/>
    <col min="8207" max="8213" width="7.7109375" customWidth="1"/>
    <col min="8214" max="8214" width="9.28515625" customWidth="1"/>
    <col min="8215" max="8215" width="8.28515625" customWidth="1"/>
    <col min="8216" max="8217" width="9.28515625" customWidth="1"/>
    <col min="8449" max="8449" width="7.5703125" customWidth="1"/>
    <col min="8450" max="8450" width="4.85546875" customWidth="1"/>
    <col min="8451" max="8460" width="6.28515625" customWidth="1"/>
    <col min="8461" max="8461" width="5.28515625" customWidth="1"/>
    <col min="8463" max="8469" width="7.7109375" customWidth="1"/>
    <col min="8470" max="8470" width="9.28515625" customWidth="1"/>
    <col min="8471" max="8471" width="8.28515625" customWidth="1"/>
    <col min="8472" max="8473" width="9.28515625" customWidth="1"/>
    <col min="8705" max="8705" width="7.5703125" customWidth="1"/>
    <col min="8706" max="8706" width="4.85546875" customWidth="1"/>
    <col min="8707" max="8716" width="6.28515625" customWidth="1"/>
    <col min="8717" max="8717" width="5.28515625" customWidth="1"/>
    <col min="8719" max="8725" width="7.7109375" customWidth="1"/>
    <col min="8726" max="8726" width="9.28515625" customWidth="1"/>
    <col min="8727" max="8727" width="8.28515625" customWidth="1"/>
    <col min="8728" max="8729" width="9.28515625" customWidth="1"/>
    <col min="8961" max="8961" width="7.5703125" customWidth="1"/>
    <col min="8962" max="8962" width="4.85546875" customWidth="1"/>
    <col min="8963" max="8972" width="6.28515625" customWidth="1"/>
    <col min="8973" max="8973" width="5.28515625" customWidth="1"/>
    <col min="8975" max="8981" width="7.7109375" customWidth="1"/>
    <col min="8982" max="8982" width="9.28515625" customWidth="1"/>
    <col min="8983" max="8983" width="8.28515625" customWidth="1"/>
    <col min="8984" max="8985" width="9.28515625" customWidth="1"/>
    <col min="9217" max="9217" width="7.5703125" customWidth="1"/>
    <col min="9218" max="9218" width="4.85546875" customWidth="1"/>
    <col min="9219" max="9228" width="6.28515625" customWidth="1"/>
    <col min="9229" max="9229" width="5.28515625" customWidth="1"/>
    <col min="9231" max="9237" width="7.7109375" customWidth="1"/>
    <col min="9238" max="9238" width="9.28515625" customWidth="1"/>
    <col min="9239" max="9239" width="8.28515625" customWidth="1"/>
    <col min="9240" max="9241" width="9.28515625" customWidth="1"/>
    <col min="9473" max="9473" width="7.5703125" customWidth="1"/>
    <col min="9474" max="9474" width="4.85546875" customWidth="1"/>
    <col min="9475" max="9484" width="6.28515625" customWidth="1"/>
    <col min="9485" max="9485" width="5.28515625" customWidth="1"/>
    <col min="9487" max="9493" width="7.7109375" customWidth="1"/>
    <col min="9494" max="9494" width="9.28515625" customWidth="1"/>
    <col min="9495" max="9495" width="8.28515625" customWidth="1"/>
    <col min="9496" max="9497" width="9.28515625" customWidth="1"/>
    <col min="9729" max="9729" width="7.5703125" customWidth="1"/>
    <col min="9730" max="9730" width="4.85546875" customWidth="1"/>
    <col min="9731" max="9740" width="6.28515625" customWidth="1"/>
    <col min="9741" max="9741" width="5.28515625" customWidth="1"/>
    <col min="9743" max="9749" width="7.7109375" customWidth="1"/>
    <col min="9750" max="9750" width="9.28515625" customWidth="1"/>
    <col min="9751" max="9751" width="8.28515625" customWidth="1"/>
    <col min="9752" max="9753" width="9.28515625" customWidth="1"/>
    <col min="9985" max="9985" width="7.5703125" customWidth="1"/>
    <col min="9986" max="9986" width="4.85546875" customWidth="1"/>
    <col min="9987" max="9996" width="6.28515625" customWidth="1"/>
    <col min="9997" max="9997" width="5.28515625" customWidth="1"/>
    <col min="9999" max="10005" width="7.7109375" customWidth="1"/>
    <col min="10006" max="10006" width="9.28515625" customWidth="1"/>
    <col min="10007" max="10007" width="8.28515625" customWidth="1"/>
    <col min="10008" max="10009" width="9.28515625" customWidth="1"/>
    <col min="10241" max="10241" width="7.5703125" customWidth="1"/>
    <col min="10242" max="10242" width="4.85546875" customWidth="1"/>
    <col min="10243" max="10252" width="6.28515625" customWidth="1"/>
    <col min="10253" max="10253" width="5.28515625" customWidth="1"/>
    <col min="10255" max="10261" width="7.7109375" customWidth="1"/>
    <col min="10262" max="10262" width="9.28515625" customWidth="1"/>
    <col min="10263" max="10263" width="8.28515625" customWidth="1"/>
    <col min="10264" max="10265" width="9.28515625" customWidth="1"/>
    <col min="10497" max="10497" width="7.5703125" customWidth="1"/>
    <col min="10498" max="10498" width="4.85546875" customWidth="1"/>
    <col min="10499" max="10508" width="6.28515625" customWidth="1"/>
    <col min="10509" max="10509" width="5.28515625" customWidth="1"/>
    <col min="10511" max="10517" width="7.7109375" customWidth="1"/>
    <col min="10518" max="10518" width="9.28515625" customWidth="1"/>
    <col min="10519" max="10519" width="8.28515625" customWidth="1"/>
    <col min="10520" max="10521" width="9.28515625" customWidth="1"/>
    <col min="10753" max="10753" width="7.5703125" customWidth="1"/>
    <col min="10754" max="10754" width="4.85546875" customWidth="1"/>
    <col min="10755" max="10764" width="6.28515625" customWidth="1"/>
    <col min="10765" max="10765" width="5.28515625" customWidth="1"/>
    <col min="10767" max="10773" width="7.7109375" customWidth="1"/>
    <col min="10774" max="10774" width="9.28515625" customWidth="1"/>
    <col min="10775" max="10775" width="8.28515625" customWidth="1"/>
    <col min="10776" max="10777" width="9.28515625" customWidth="1"/>
    <col min="11009" max="11009" width="7.5703125" customWidth="1"/>
    <col min="11010" max="11010" width="4.85546875" customWidth="1"/>
    <col min="11011" max="11020" width="6.28515625" customWidth="1"/>
    <col min="11021" max="11021" width="5.28515625" customWidth="1"/>
    <col min="11023" max="11029" width="7.7109375" customWidth="1"/>
    <col min="11030" max="11030" width="9.28515625" customWidth="1"/>
    <col min="11031" max="11031" width="8.28515625" customWidth="1"/>
    <col min="11032" max="11033" width="9.28515625" customWidth="1"/>
    <col min="11265" max="11265" width="7.5703125" customWidth="1"/>
    <col min="11266" max="11266" width="4.85546875" customWidth="1"/>
    <col min="11267" max="11276" width="6.28515625" customWidth="1"/>
    <col min="11277" max="11277" width="5.28515625" customWidth="1"/>
    <col min="11279" max="11285" width="7.7109375" customWidth="1"/>
    <col min="11286" max="11286" width="9.28515625" customWidth="1"/>
    <col min="11287" max="11287" width="8.28515625" customWidth="1"/>
    <col min="11288" max="11289" width="9.28515625" customWidth="1"/>
    <col min="11521" max="11521" width="7.5703125" customWidth="1"/>
    <col min="11522" max="11522" width="4.85546875" customWidth="1"/>
    <col min="11523" max="11532" width="6.28515625" customWidth="1"/>
    <col min="11533" max="11533" width="5.28515625" customWidth="1"/>
    <col min="11535" max="11541" width="7.7109375" customWidth="1"/>
    <col min="11542" max="11542" width="9.28515625" customWidth="1"/>
    <col min="11543" max="11543" width="8.28515625" customWidth="1"/>
    <col min="11544" max="11545" width="9.28515625" customWidth="1"/>
    <col min="11777" max="11777" width="7.5703125" customWidth="1"/>
    <col min="11778" max="11778" width="4.85546875" customWidth="1"/>
    <col min="11779" max="11788" width="6.28515625" customWidth="1"/>
    <col min="11789" max="11789" width="5.28515625" customWidth="1"/>
    <col min="11791" max="11797" width="7.7109375" customWidth="1"/>
    <col min="11798" max="11798" width="9.28515625" customWidth="1"/>
    <col min="11799" max="11799" width="8.28515625" customWidth="1"/>
    <col min="11800" max="11801" width="9.28515625" customWidth="1"/>
    <col min="12033" max="12033" width="7.5703125" customWidth="1"/>
    <col min="12034" max="12034" width="4.85546875" customWidth="1"/>
    <col min="12035" max="12044" width="6.28515625" customWidth="1"/>
    <col min="12045" max="12045" width="5.28515625" customWidth="1"/>
    <col min="12047" max="12053" width="7.7109375" customWidth="1"/>
    <col min="12054" max="12054" width="9.28515625" customWidth="1"/>
    <col min="12055" max="12055" width="8.28515625" customWidth="1"/>
    <col min="12056" max="12057" width="9.28515625" customWidth="1"/>
    <col min="12289" max="12289" width="7.5703125" customWidth="1"/>
    <col min="12290" max="12290" width="4.85546875" customWidth="1"/>
    <col min="12291" max="12300" width="6.28515625" customWidth="1"/>
    <col min="12301" max="12301" width="5.28515625" customWidth="1"/>
    <col min="12303" max="12309" width="7.7109375" customWidth="1"/>
    <col min="12310" max="12310" width="9.28515625" customWidth="1"/>
    <col min="12311" max="12311" width="8.28515625" customWidth="1"/>
    <col min="12312" max="12313" width="9.28515625" customWidth="1"/>
    <col min="12545" max="12545" width="7.5703125" customWidth="1"/>
    <col min="12546" max="12546" width="4.85546875" customWidth="1"/>
    <col min="12547" max="12556" width="6.28515625" customWidth="1"/>
    <col min="12557" max="12557" width="5.28515625" customWidth="1"/>
    <col min="12559" max="12565" width="7.7109375" customWidth="1"/>
    <col min="12566" max="12566" width="9.28515625" customWidth="1"/>
    <col min="12567" max="12567" width="8.28515625" customWidth="1"/>
    <col min="12568" max="12569" width="9.28515625" customWidth="1"/>
    <col min="12801" max="12801" width="7.5703125" customWidth="1"/>
    <col min="12802" max="12802" width="4.85546875" customWidth="1"/>
    <col min="12803" max="12812" width="6.28515625" customWidth="1"/>
    <col min="12813" max="12813" width="5.28515625" customWidth="1"/>
    <col min="12815" max="12821" width="7.7109375" customWidth="1"/>
    <col min="12822" max="12822" width="9.28515625" customWidth="1"/>
    <col min="12823" max="12823" width="8.28515625" customWidth="1"/>
    <col min="12824" max="12825" width="9.28515625" customWidth="1"/>
    <col min="13057" max="13057" width="7.5703125" customWidth="1"/>
    <col min="13058" max="13058" width="4.85546875" customWidth="1"/>
    <col min="13059" max="13068" width="6.28515625" customWidth="1"/>
    <col min="13069" max="13069" width="5.28515625" customWidth="1"/>
    <col min="13071" max="13077" width="7.7109375" customWidth="1"/>
    <col min="13078" max="13078" width="9.28515625" customWidth="1"/>
    <col min="13079" max="13079" width="8.28515625" customWidth="1"/>
    <col min="13080" max="13081" width="9.28515625" customWidth="1"/>
    <col min="13313" max="13313" width="7.5703125" customWidth="1"/>
    <col min="13314" max="13314" width="4.85546875" customWidth="1"/>
    <col min="13315" max="13324" width="6.28515625" customWidth="1"/>
    <col min="13325" max="13325" width="5.28515625" customWidth="1"/>
    <col min="13327" max="13333" width="7.7109375" customWidth="1"/>
    <col min="13334" max="13334" width="9.28515625" customWidth="1"/>
    <col min="13335" max="13335" width="8.28515625" customWidth="1"/>
    <col min="13336" max="13337" width="9.28515625" customWidth="1"/>
    <col min="13569" max="13569" width="7.5703125" customWidth="1"/>
    <col min="13570" max="13570" width="4.85546875" customWidth="1"/>
    <col min="13571" max="13580" width="6.28515625" customWidth="1"/>
    <col min="13581" max="13581" width="5.28515625" customWidth="1"/>
    <col min="13583" max="13589" width="7.7109375" customWidth="1"/>
    <col min="13590" max="13590" width="9.28515625" customWidth="1"/>
    <col min="13591" max="13591" width="8.28515625" customWidth="1"/>
    <col min="13592" max="13593" width="9.28515625" customWidth="1"/>
    <col min="13825" max="13825" width="7.5703125" customWidth="1"/>
    <col min="13826" max="13826" width="4.85546875" customWidth="1"/>
    <col min="13827" max="13836" width="6.28515625" customWidth="1"/>
    <col min="13837" max="13837" width="5.28515625" customWidth="1"/>
    <col min="13839" max="13845" width="7.7109375" customWidth="1"/>
    <col min="13846" max="13846" width="9.28515625" customWidth="1"/>
    <col min="13847" max="13847" width="8.28515625" customWidth="1"/>
    <col min="13848" max="13849" width="9.28515625" customWidth="1"/>
    <col min="14081" max="14081" width="7.5703125" customWidth="1"/>
    <col min="14082" max="14082" width="4.85546875" customWidth="1"/>
    <col min="14083" max="14092" width="6.28515625" customWidth="1"/>
    <col min="14093" max="14093" width="5.28515625" customWidth="1"/>
    <col min="14095" max="14101" width="7.7109375" customWidth="1"/>
    <col min="14102" max="14102" width="9.28515625" customWidth="1"/>
    <col min="14103" max="14103" width="8.28515625" customWidth="1"/>
    <col min="14104" max="14105" width="9.28515625" customWidth="1"/>
    <col min="14337" max="14337" width="7.5703125" customWidth="1"/>
    <col min="14338" max="14338" width="4.85546875" customWidth="1"/>
    <col min="14339" max="14348" width="6.28515625" customWidth="1"/>
    <col min="14349" max="14349" width="5.28515625" customWidth="1"/>
    <col min="14351" max="14357" width="7.7109375" customWidth="1"/>
    <col min="14358" max="14358" width="9.28515625" customWidth="1"/>
    <col min="14359" max="14359" width="8.28515625" customWidth="1"/>
    <col min="14360" max="14361" width="9.28515625" customWidth="1"/>
    <col min="14593" max="14593" width="7.5703125" customWidth="1"/>
    <col min="14594" max="14594" width="4.85546875" customWidth="1"/>
    <col min="14595" max="14604" width="6.28515625" customWidth="1"/>
    <col min="14605" max="14605" width="5.28515625" customWidth="1"/>
    <col min="14607" max="14613" width="7.7109375" customWidth="1"/>
    <col min="14614" max="14614" width="9.28515625" customWidth="1"/>
    <col min="14615" max="14615" width="8.28515625" customWidth="1"/>
    <col min="14616" max="14617" width="9.28515625" customWidth="1"/>
    <col min="14849" max="14849" width="7.5703125" customWidth="1"/>
    <col min="14850" max="14850" width="4.85546875" customWidth="1"/>
    <col min="14851" max="14860" width="6.28515625" customWidth="1"/>
    <col min="14861" max="14861" width="5.28515625" customWidth="1"/>
    <col min="14863" max="14869" width="7.7109375" customWidth="1"/>
    <col min="14870" max="14870" width="9.28515625" customWidth="1"/>
    <col min="14871" max="14871" width="8.28515625" customWidth="1"/>
    <col min="14872" max="14873" width="9.28515625" customWidth="1"/>
    <col min="15105" max="15105" width="7.5703125" customWidth="1"/>
    <col min="15106" max="15106" width="4.85546875" customWidth="1"/>
    <col min="15107" max="15116" width="6.28515625" customWidth="1"/>
    <col min="15117" max="15117" width="5.28515625" customWidth="1"/>
    <col min="15119" max="15125" width="7.7109375" customWidth="1"/>
    <col min="15126" max="15126" width="9.28515625" customWidth="1"/>
    <col min="15127" max="15127" width="8.28515625" customWidth="1"/>
    <col min="15128" max="15129" width="9.28515625" customWidth="1"/>
    <col min="15361" max="15361" width="7.5703125" customWidth="1"/>
    <col min="15362" max="15362" width="4.85546875" customWidth="1"/>
    <col min="15363" max="15372" width="6.28515625" customWidth="1"/>
    <col min="15373" max="15373" width="5.28515625" customWidth="1"/>
    <col min="15375" max="15381" width="7.7109375" customWidth="1"/>
    <col min="15382" max="15382" width="9.28515625" customWidth="1"/>
    <col min="15383" max="15383" width="8.28515625" customWidth="1"/>
    <col min="15384" max="15385" width="9.28515625" customWidth="1"/>
    <col min="15617" max="15617" width="7.5703125" customWidth="1"/>
    <col min="15618" max="15618" width="4.85546875" customWidth="1"/>
    <col min="15619" max="15628" width="6.28515625" customWidth="1"/>
    <col min="15629" max="15629" width="5.28515625" customWidth="1"/>
    <col min="15631" max="15637" width="7.7109375" customWidth="1"/>
    <col min="15638" max="15638" width="9.28515625" customWidth="1"/>
    <col min="15639" max="15639" width="8.28515625" customWidth="1"/>
    <col min="15640" max="15641" width="9.28515625" customWidth="1"/>
    <col min="15873" max="15873" width="7.5703125" customWidth="1"/>
    <col min="15874" max="15874" width="4.85546875" customWidth="1"/>
    <col min="15875" max="15884" width="6.28515625" customWidth="1"/>
    <col min="15885" max="15885" width="5.28515625" customWidth="1"/>
    <col min="15887" max="15893" width="7.7109375" customWidth="1"/>
    <col min="15894" max="15894" width="9.28515625" customWidth="1"/>
    <col min="15895" max="15895" width="8.28515625" customWidth="1"/>
    <col min="15896" max="15897" width="9.28515625" customWidth="1"/>
    <col min="16129" max="16129" width="7.5703125" customWidth="1"/>
    <col min="16130" max="16130" width="4.85546875" customWidth="1"/>
    <col min="16131" max="16140" width="6.28515625" customWidth="1"/>
    <col min="16141" max="16141" width="5.28515625" customWidth="1"/>
    <col min="16143" max="16149" width="7.7109375" customWidth="1"/>
    <col min="16150" max="16150" width="9.28515625" customWidth="1"/>
    <col min="16151" max="16151" width="8.28515625" customWidth="1"/>
    <col min="16152" max="16153" width="9.28515625" customWidth="1"/>
  </cols>
  <sheetData>
    <row r="1" spans="1:26" ht="18">
      <c r="A1" s="492" t="s">
        <v>501</v>
      </c>
      <c r="B1" s="493"/>
      <c r="C1" s="493"/>
      <c r="D1" s="493"/>
      <c r="E1" s="493"/>
      <c r="F1" s="493"/>
      <c r="G1" s="493"/>
      <c r="H1" s="493"/>
      <c r="I1" s="493"/>
      <c r="J1" s="493"/>
      <c r="K1" s="493"/>
      <c r="L1" s="493"/>
      <c r="M1" s="493"/>
      <c r="N1" s="493"/>
      <c r="O1" s="492" t="s">
        <v>501</v>
      </c>
      <c r="P1" s="493"/>
      <c r="Q1" s="493"/>
      <c r="R1" s="493"/>
      <c r="S1" s="493"/>
      <c r="T1" s="493"/>
      <c r="U1" s="493"/>
      <c r="V1" s="493"/>
      <c r="W1" s="493"/>
      <c r="X1" s="493"/>
      <c r="Y1" s="493"/>
    </row>
    <row r="2" spans="1:26" ht="18">
      <c r="A2" s="492" t="s">
        <v>502</v>
      </c>
      <c r="B2" s="493"/>
      <c r="C2" s="493"/>
      <c r="D2" s="493"/>
      <c r="E2" s="493"/>
      <c r="F2" s="493"/>
      <c r="G2" s="493"/>
      <c r="H2" s="493"/>
      <c r="I2" s="493"/>
      <c r="J2" s="493"/>
      <c r="K2" s="493"/>
      <c r="L2" s="493"/>
      <c r="M2" s="493"/>
      <c r="N2" s="493"/>
      <c r="O2" s="492" t="s">
        <v>502</v>
      </c>
      <c r="P2" s="493"/>
      <c r="Q2" s="493"/>
      <c r="R2" s="493"/>
      <c r="S2" s="493"/>
      <c r="T2" s="493"/>
      <c r="U2" s="493"/>
      <c r="V2" s="493"/>
      <c r="W2" s="493"/>
      <c r="X2" s="493"/>
      <c r="Y2" s="493"/>
    </row>
    <row r="4" spans="1:26" s="498" customFormat="1" ht="11.25">
      <c r="A4" s="494" t="s">
        <v>503</v>
      </c>
      <c r="B4" s="495"/>
      <c r="C4" s="495"/>
      <c r="D4" s="495"/>
      <c r="E4" s="496"/>
      <c r="F4" s="494" t="s">
        <v>504</v>
      </c>
      <c r="G4" s="495"/>
      <c r="H4" s="495"/>
      <c r="I4" s="496"/>
      <c r="J4" s="494" t="s">
        <v>505</v>
      </c>
      <c r="K4" s="495"/>
      <c r="L4" s="495"/>
      <c r="M4" s="495"/>
      <c r="N4" s="496"/>
      <c r="O4" s="494" t="s">
        <v>503</v>
      </c>
      <c r="P4" s="495"/>
      <c r="Q4" s="496"/>
      <c r="R4" s="494" t="s">
        <v>504</v>
      </c>
      <c r="S4" s="495"/>
      <c r="T4" s="495"/>
      <c r="U4" s="496"/>
      <c r="V4" s="494" t="s">
        <v>505</v>
      </c>
      <c r="W4" s="495"/>
      <c r="X4" s="495"/>
      <c r="Y4" s="496"/>
      <c r="Z4" s="497"/>
    </row>
    <row r="5" spans="1:26">
      <c r="A5" s="499"/>
      <c r="B5" s="51"/>
      <c r="C5" s="51"/>
      <c r="D5" s="51"/>
      <c r="E5" s="500"/>
      <c r="F5" s="501"/>
      <c r="G5" s="502"/>
      <c r="H5" s="502"/>
      <c r="I5" s="503"/>
      <c r="J5" s="501"/>
      <c r="K5" s="502"/>
      <c r="L5" s="502"/>
      <c r="M5" s="502"/>
      <c r="N5" s="503"/>
      <c r="O5" s="499"/>
      <c r="P5" s="51"/>
      <c r="Q5" s="500"/>
      <c r="R5" s="499" t="str">
        <f>IF(F5&lt;&gt;"",F5,"")</f>
        <v/>
      </c>
      <c r="S5" s="51"/>
      <c r="T5" s="51"/>
      <c r="U5" s="500"/>
      <c r="V5" s="499" t="str">
        <f>IF(J5&lt;&gt;"",J5,"")</f>
        <v/>
      </c>
      <c r="W5" s="51"/>
      <c r="X5" s="51"/>
      <c r="Y5" s="500"/>
      <c r="Z5" s="15"/>
    </row>
    <row r="6" spans="1:26" s="498" customFormat="1" ht="11.25">
      <c r="A6" s="494" t="s">
        <v>506</v>
      </c>
      <c r="B6" s="495"/>
      <c r="C6" s="495"/>
      <c r="D6" s="495"/>
      <c r="E6" s="496"/>
      <c r="F6" s="494" t="s">
        <v>507</v>
      </c>
      <c r="G6" s="495"/>
      <c r="H6" s="495"/>
      <c r="I6" s="496"/>
      <c r="J6" s="494" t="s">
        <v>508</v>
      </c>
      <c r="K6" s="495"/>
      <c r="L6" s="495"/>
      <c r="M6" s="495"/>
      <c r="N6" s="496"/>
      <c r="O6" s="494" t="s">
        <v>506</v>
      </c>
      <c r="P6" s="495"/>
      <c r="Q6" s="496"/>
      <c r="R6" s="494" t="s">
        <v>507</v>
      </c>
      <c r="S6" s="495"/>
      <c r="T6" s="495"/>
      <c r="U6" s="496"/>
      <c r="V6" s="494" t="s">
        <v>508</v>
      </c>
      <c r="W6" s="495"/>
      <c r="X6" s="495"/>
      <c r="Y6" s="496"/>
      <c r="Z6" s="497"/>
    </row>
    <row r="7" spans="1:26">
      <c r="A7" s="499"/>
      <c r="B7" s="51"/>
      <c r="C7" s="51"/>
      <c r="D7" s="51"/>
      <c r="E7" s="500"/>
      <c r="F7" s="501"/>
      <c r="G7" s="502"/>
      <c r="H7" s="502"/>
      <c r="I7" s="503"/>
      <c r="J7" s="501"/>
      <c r="K7" s="502"/>
      <c r="L7" s="502"/>
      <c r="M7" s="502"/>
      <c r="N7" s="503"/>
      <c r="O7" s="499"/>
      <c r="P7" s="51"/>
      <c r="Q7" s="500"/>
      <c r="R7" s="499" t="str">
        <f>IF(F7&lt;&gt;"",F7,"")</f>
        <v/>
      </c>
      <c r="S7" s="51"/>
      <c r="T7" s="51"/>
      <c r="U7" s="500"/>
      <c r="V7" s="499" t="str">
        <f>IF(J7&lt;&gt;"",J7,"")</f>
        <v/>
      </c>
      <c r="W7" s="51"/>
      <c r="X7" s="51"/>
      <c r="Y7" s="500"/>
      <c r="Z7" s="15"/>
    </row>
    <row r="8" spans="1:26" s="498" customFormat="1">
      <c r="A8" s="494" t="s">
        <v>509</v>
      </c>
      <c r="B8" s="495"/>
      <c r="C8" s="495"/>
      <c r="D8" s="504" t="s">
        <v>510</v>
      </c>
      <c r="E8" s="505"/>
      <c r="F8" s="494" t="s">
        <v>511</v>
      </c>
      <c r="G8" s="495"/>
      <c r="H8" s="495"/>
      <c r="I8" s="496"/>
      <c r="J8" s="494" t="s">
        <v>512</v>
      </c>
      <c r="K8" s="495"/>
      <c r="L8" s="495"/>
      <c r="M8" s="495"/>
      <c r="N8" s="496"/>
      <c r="O8" s="494" t="s">
        <v>509</v>
      </c>
      <c r="P8" s="48"/>
      <c r="Q8" s="506"/>
      <c r="R8" s="494" t="s">
        <v>511</v>
      </c>
      <c r="S8" s="495"/>
      <c r="T8" s="495"/>
      <c r="U8" s="496"/>
      <c r="V8" s="494" t="s">
        <v>512</v>
      </c>
      <c r="W8" s="495"/>
      <c r="X8" s="495"/>
      <c r="Y8" s="496"/>
      <c r="Z8" s="497"/>
    </row>
    <row r="9" spans="1:26">
      <c r="A9" s="501"/>
      <c r="B9" s="502"/>
      <c r="C9" s="502"/>
      <c r="D9" s="507"/>
      <c r="E9" s="508"/>
      <c r="F9" s="501"/>
      <c r="G9" s="502"/>
      <c r="H9" s="502"/>
      <c r="I9" s="503"/>
      <c r="J9" s="501"/>
      <c r="K9" s="502"/>
      <c r="L9" s="502"/>
      <c r="M9" s="502"/>
      <c r="N9" s="503"/>
      <c r="O9" s="499" t="str">
        <f>IF(A9&lt;&gt;"",A9,"")</f>
        <v/>
      </c>
      <c r="P9" s="51"/>
      <c r="Q9" s="500"/>
      <c r="R9" s="499" t="str">
        <f>IF(F9&lt;&gt;"",F9,"")</f>
        <v/>
      </c>
      <c r="S9" s="51"/>
      <c r="T9" s="51"/>
      <c r="U9" s="500"/>
      <c r="V9" s="499" t="str">
        <f>IF(J9&lt;&gt;"",J9,"")</f>
        <v/>
      </c>
      <c r="W9" s="51"/>
      <c r="X9" s="51"/>
      <c r="Y9" s="500"/>
      <c r="Z9" s="15"/>
    </row>
    <row r="10" spans="1:26">
      <c r="A10" s="494" t="s">
        <v>513</v>
      </c>
      <c r="B10" s="495"/>
      <c r="C10" s="495"/>
      <c r="D10" s="495"/>
      <c r="E10" s="496"/>
      <c r="F10" s="494" t="s">
        <v>514</v>
      </c>
      <c r="G10" s="496"/>
      <c r="H10" s="494" t="s">
        <v>515</v>
      </c>
      <c r="I10" s="496"/>
      <c r="J10" s="494" t="s">
        <v>516</v>
      </c>
      <c r="K10" s="496"/>
      <c r="L10" s="494" t="s">
        <v>517</v>
      </c>
      <c r="M10" s="495"/>
      <c r="N10" s="496"/>
      <c r="O10" s="494" t="s">
        <v>513</v>
      </c>
      <c r="P10" s="48"/>
      <c r="Q10" s="506"/>
      <c r="R10" s="494" t="s">
        <v>514</v>
      </c>
      <c r="S10" s="496"/>
      <c r="T10" s="494" t="s">
        <v>515</v>
      </c>
      <c r="U10" s="496"/>
      <c r="V10" s="494" t="s">
        <v>516</v>
      </c>
      <c r="W10" s="496"/>
      <c r="X10" s="494" t="s">
        <v>517</v>
      </c>
      <c r="Y10" s="496"/>
      <c r="Z10" s="497"/>
    </row>
    <row r="11" spans="1:26">
      <c r="A11" s="501"/>
      <c r="B11" s="502"/>
      <c r="C11" s="502"/>
      <c r="D11" s="502"/>
      <c r="E11" s="503"/>
      <c r="F11" s="509" t="str">
        <f>IF(C15&lt;&gt;"",COUNT(C15:C17),"")</f>
        <v/>
      </c>
      <c r="G11" s="510"/>
      <c r="H11" s="509" t="str">
        <f>IF(C15&lt;&gt;"",COUNT(C15:L15),"")</f>
        <v/>
      </c>
      <c r="I11" s="510"/>
      <c r="J11" s="509" t="str">
        <f>IF(C15&lt;&gt;"",COUNT(C15,C20,C25),"")</f>
        <v/>
      </c>
      <c r="K11" s="511"/>
      <c r="L11" s="501"/>
      <c r="M11" s="502"/>
      <c r="N11" s="503"/>
      <c r="O11" s="499" t="str">
        <f>IF(A11&lt;&gt;"",A11,"")</f>
        <v/>
      </c>
      <c r="P11" s="51"/>
      <c r="Q11" s="500"/>
      <c r="R11" s="512" t="str">
        <f>F11</f>
        <v/>
      </c>
      <c r="S11" s="511"/>
      <c r="T11" s="512" t="str">
        <f>H11</f>
        <v/>
      </c>
      <c r="U11" s="511"/>
      <c r="V11" s="512" t="str">
        <f>J11</f>
        <v/>
      </c>
      <c r="W11" s="511"/>
      <c r="X11" s="499" t="str">
        <f>IF(L11&lt;&gt;"",L11,"")</f>
        <v/>
      </c>
      <c r="Y11" s="500"/>
      <c r="Z11" s="15"/>
    </row>
    <row r="12" spans="1:26" ht="15.75" thickBot="1">
      <c r="A12" s="15"/>
      <c r="B12" s="15"/>
      <c r="C12" s="15"/>
      <c r="D12" s="513"/>
      <c r="E12" s="513" t="str">
        <f>IF(D9&gt;E9,"ENTER LOWER TOLERANCE IN D9","")</f>
        <v/>
      </c>
      <c r="F12" s="15" t="str">
        <f>IF(C15&lt;&gt;"",IF(F11*H11*J11&lt;90,"DERIVED RESULTS MAY NOT BE STATISTICALLY SOUND",""),"")</f>
        <v/>
      </c>
      <c r="G12" s="514"/>
      <c r="H12" s="15"/>
      <c r="I12" s="514"/>
      <c r="J12" s="15"/>
      <c r="K12" s="514"/>
      <c r="L12" s="15"/>
      <c r="M12" s="15"/>
      <c r="N12" s="15"/>
      <c r="O12" s="15"/>
      <c r="P12" s="15"/>
      <c r="Q12" s="15"/>
      <c r="R12" s="15"/>
      <c r="S12" s="514"/>
      <c r="T12" s="15"/>
      <c r="U12" s="514"/>
      <c r="V12" s="15"/>
      <c r="W12" s="514"/>
      <c r="X12" s="15"/>
      <c r="Y12" s="15"/>
      <c r="Z12" s="15"/>
    </row>
    <row r="13" spans="1:26" ht="15.75">
      <c r="A13" s="515" t="s">
        <v>518</v>
      </c>
      <c r="B13" s="516"/>
      <c r="C13" s="517" t="s">
        <v>519</v>
      </c>
      <c r="D13" s="518"/>
      <c r="E13" s="518"/>
      <c r="F13" s="518"/>
      <c r="G13" s="518"/>
      <c r="H13" s="518"/>
      <c r="I13" s="518"/>
      <c r="J13" s="518"/>
      <c r="K13" s="518"/>
      <c r="L13" s="519"/>
      <c r="M13" s="520" t="s">
        <v>520</v>
      </c>
      <c r="N13" s="521"/>
      <c r="O13" s="522"/>
      <c r="P13" s="523"/>
      <c r="Q13" s="523"/>
      <c r="R13" s="524" t="s">
        <v>521</v>
      </c>
      <c r="S13" s="523"/>
      <c r="T13" s="523"/>
      <c r="U13" s="525"/>
      <c r="V13" s="526" t="s">
        <v>522</v>
      </c>
      <c r="W13" s="527"/>
      <c r="X13" s="528"/>
      <c r="Y13" s="529"/>
    </row>
    <row r="14" spans="1:26" ht="15.75" customHeight="1" thickBot="1">
      <c r="A14" s="530" t="s">
        <v>523</v>
      </c>
      <c r="B14" s="531"/>
      <c r="C14" s="532">
        <v>1</v>
      </c>
      <c r="D14" s="532">
        <v>2</v>
      </c>
      <c r="E14" s="532">
        <v>3</v>
      </c>
      <c r="F14" s="532">
        <v>4</v>
      </c>
      <c r="G14" s="532">
        <v>5</v>
      </c>
      <c r="H14" s="532">
        <v>6</v>
      </c>
      <c r="I14" s="532">
        <v>7</v>
      </c>
      <c r="J14" s="532">
        <v>8</v>
      </c>
      <c r="K14" s="532">
        <v>9</v>
      </c>
      <c r="L14" s="532">
        <v>10</v>
      </c>
      <c r="M14" s="533"/>
      <c r="N14" s="20"/>
      <c r="O14" s="534" t="s">
        <v>524</v>
      </c>
      <c r="P14" s="48"/>
      <c r="Q14" s="48"/>
      <c r="R14" s="48"/>
      <c r="S14" s="48"/>
      <c r="T14" s="48"/>
      <c r="U14" s="506"/>
      <c r="V14" s="535"/>
      <c r="W14" s="48"/>
      <c r="X14" s="48"/>
      <c r="Y14" s="536"/>
    </row>
    <row r="15" spans="1:26" ht="18" customHeight="1">
      <c r="A15" s="537" t="s">
        <v>525</v>
      </c>
      <c r="B15" s="538">
        <v>1</v>
      </c>
      <c r="C15" s="539"/>
      <c r="D15" s="539"/>
      <c r="E15" s="539"/>
      <c r="F15" s="539"/>
      <c r="G15" s="539"/>
      <c r="H15" s="539"/>
      <c r="I15" s="539"/>
      <c r="J15" s="539"/>
      <c r="K15" s="539"/>
      <c r="L15" s="539"/>
      <c r="M15" s="540"/>
      <c r="N15" s="541" t="str">
        <f t="shared" ref="N15:N29" si="0">IF(C15&lt;&gt;"",AVERAGE(C15:L15),"")</f>
        <v/>
      </c>
      <c r="O15" s="542" t="s">
        <v>526</v>
      </c>
      <c r="P15" s="514" t="s">
        <v>527</v>
      </c>
      <c r="Q15" s="543" t="s">
        <v>528</v>
      </c>
      <c r="R15" s="15"/>
      <c r="S15" s="15"/>
      <c r="T15" s="42" t="s">
        <v>514</v>
      </c>
      <c r="U15" s="544" t="s">
        <v>529</v>
      </c>
      <c r="V15" s="545" t="s">
        <v>530</v>
      </c>
      <c r="W15" s="514" t="s">
        <v>527</v>
      </c>
      <c r="X15" s="15" t="s">
        <v>531</v>
      </c>
      <c r="Y15" s="16"/>
    </row>
    <row r="16" spans="1:26" ht="18" customHeight="1" thickBot="1">
      <c r="A16" s="546">
        <v>2</v>
      </c>
      <c r="B16" s="547">
        <v>2</v>
      </c>
      <c r="C16" s="548"/>
      <c r="D16" s="548"/>
      <c r="E16" s="548"/>
      <c r="F16" s="548"/>
      <c r="G16" s="548"/>
      <c r="H16" s="548"/>
      <c r="I16" s="548"/>
      <c r="J16" s="548"/>
      <c r="K16" s="548"/>
      <c r="L16" s="548"/>
      <c r="M16" s="51"/>
      <c r="N16" s="549" t="str">
        <f t="shared" si="0"/>
        <v/>
      </c>
      <c r="O16" s="459"/>
      <c r="P16" s="514" t="s">
        <v>527</v>
      </c>
      <c r="Q16" s="15" t="str">
        <f>IF(C15&lt;&gt;"",CONCATENATE(TEXT($N$32,"0.000")," x ",CHOOSE($F$11,0,U16,U17)),"")</f>
        <v/>
      </c>
      <c r="R16" s="15"/>
      <c r="S16" s="15"/>
      <c r="T16" s="550">
        <v>2</v>
      </c>
      <c r="U16" s="551">
        <v>0.88649999999999995</v>
      </c>
      <c r="V16" s="545"/>
      <c r="W16" s="514" t="s">
        <v>527</v>
      </c>
      <c r="X16" s="552" t="str">
        <f>IF(C15&lt;&gt;"",CONCATENATE("100(",TEXT($Q$17,"0.000"),"/",TEXT($Q$35,"0.000"),")"),"")</f>
        <v/>
      </c>
      <c r="Y16" s="16"/>
    </row>
    <row r="17" spans="1:25" ht="18" customHeight="1">
      <c r="A17" s="553">
        <f>A16+1</f>
        <v>3</v>
      </c>
      <c r="B17" s="554">
        <v>3</v>
      </c>
      <c r="C17" s="539"/>
      <c r="D17" s="539"/>
      <c r="E17" s="539"/>
      <c r="F17" s="539"/>
      <c r="G17" s="539"/>
      <c r="H17" s="539"/>
      <c r="I17" s="539"/>
      <c r="J17" s="539"/>
      <c r="K17" s="539"/>
      <c r="L17" s="539"/>
      <c r="M17" s="51"/>
      <c r="N17" s="549" t="str">
        <f t="shared" si="0"/>
        <v/>
      </c>
      <c r="O17" s="555"/>
      <c r="P17" s="556" t="s">
        <v>527</v>
      </c>
      <c r="Q17" s="557" t="str">
        <f>IF(C15&lt;&gt;"",$N$32*(CHOOSE($F$11,0,U16,U17)),"")</f>
        <v/>
      </c>
      <c r="R17" s="51"/>
      <c r="S17" s="51"/>
      <c r="T17" s="558">
        <v>3</v>
      </c>
      <c r="U17" s="554">
        <v>0.5907</v>
      </c>
      <c r="V17" s="499"/>
      <c r="W17" s="556" t="s">
        <v>527</v>
      </c>
      <c r="X17" s="559" t="str">
        <f>IF(C15&lt;&gt;"",100*($Q$17/$Q$35),"")</f>
        <v/>
      </c>
      <c r="Y17" s="560"/>
    </row>
    <row r="18" spans="1:25" ht="18" customHeight="1">
      <c r="A18" s="553">
        <f>A17+1</f>
        <v>4</v>
      </c>
      <c r="B18" s="554" t="s">
        <v>251</v>
      </c>
      <c r="C18" s="561" t="str">
        <f>IF(C15&lt;&gt;"",SUM(C15:C17)/COUNT(C15:C17),"")</f>
        <v/>
      </c>
      <c r="D18" s="561" t="str">
        <f t="shared" ref="D18:L18" si="1">IF(D15&lt;&gt;"",SUM(D15:D17)/COUNT(D15:D17),"")</f>
        <v/>
      </c>
      <c r="E18" s="561" t="str">
        <f t="shared" si="1"/>
        <v/>
      </c>
      <c r="F18" s="561" t="str">
        <f t="shared" si="1"/>
        <v/>
      </c>
      <c r="G18" s="561" t="str">
        <f t="shared" si="1"/>
        <v/>
      </c>
      <c r="H18" s="561" t="str">
        <f t="shared" si="1"/>
        <v/>
      </c>
      <c r="I18" s="561" t="str">
        <f t="shared" si="1"/>
        <v/>
      </c>
      <c r="J18" s="561" t="str">
        <f t="shared" si="1"/>
        <v/>
      </c>
      <c r="K18" s="561" t="str">
        <f t="shared" si="1"/>
        <v/>
      </c>
      <c r="L18" s="561" t="str">
        <f t="shared" si="1"/>
        <v/>
      </c>
      <c r="M18" s="562" t="s">
        <v>532</v>
      </c>
      <c r="N18" s="549" t="str">
        <f t="shared" si="0"/>
        <v/>
      </c>
      <c r="O18" s="534" t="s">
        <v>533</v>
      </c>
      <c r="P18" s="48"/>
      <c r="Q18" s="48"/>
      <c r="R18" s="48"/>
      <c r="S18" s="48"/>
      <c r="T18" s="48"/>
      <c r="U18" s="506"/>
      <c r="V18" s="535"/>
      <c r="W18" s="48"/>
      <c r="X18" s="48"/>
      <c r="Y18" s="536"/>
    </row>
    <row r="19" spans="1:25" ht="18" customHeight="1" thickBot="1">
      <c r="A19" s="563">
        <f>A18+1</f>
        <v>5</v>
      </c>
      <c r="B19" s="564" t="s">
        <v>534</v>
      </c>
      <c r="C19" s="565" t="str">
        <f>IF(C15&lt;&gt;"",MAX(C15:C17)-MIN(C15:C17),"")</f>
        <v/>
      </c>
      <c r="D19" s="565" t="str">
        <f t="shared" ref="D19:L19" si="2">IF(D15&lt;&gt;"",MAX(D15:D17)-MIN(D15:D17),"")</f>
        <v/>
      </c>
      <c r="E19" s="565" t="str">
        <f t="shared" si="2"/>
        <v/>
      </c>
      <c r="F19" s="565" t="str">
        <f t="shared" si="2"/>
        <v/>
      </c>
      <c r="G19" s="565" t="str">
        <f t="shared" si="2"/>
        <v/>
      </c>
      <c r="H19" s="565" t="str">
        <f t="shared" si="2"/>
        <v/>
      </c>
      <c r="I19" s="565" t="str">
        <f t="shared" si="2"/>
        <v/>
      </c>
      <c r="J19" s="565" t="str">
        <f t="shared" si="2"/>
        <v/>
      </c>
      <c r="K19" s="565" t="str">
        <f t="shared" si="2"/>
        <v/>
      </c>
      <c r="L19" s="565" t="str">
        <f t="shared" si="2"/>
        <v/>
      </c>
      <c r="M19" s="566" t="s">
        <v>535</v>
      </c>
      <c r="N19" s="549" t="str">
        <f t="shared" si="0"/>
        <v/>
      </c>
      <c r="O19" s="542" t="s">
        <v>536</v>
      </c>
      <c r="P19" s="514" t="s">
        <v>527</v>
      </c>
      <c r="Q19" s="15" t="s">
        <v>537</v>
      </c>
      <c r="R19" s="15"/>
      <c r="S19" s="15"/>
      <c r="T19" s="15"/>
      <c r="U19" s="567"/>
      <c r="V19" s="545" t="s">
        <v>538</v>
      </c>
      <c r="W19" s="514" t="s">
        <v>527</v>
      </c>
      <c r="X19" s="15" t="s">
        <v>539</v>
      </c>
      <c r="Y19" s="16"/>
    </row>
    <row r="20" spans="1:25" ht="18" customHeight="1">
      <c r="A20" s="537" t="s">
        <v>540</v>
      </c>
      <c r="B20" s="538">
        <v>1</v>
      </c>
      <c r="C20" s="539"/>
      <c r="D20" s="539"/>
      <c r="E20" s="539"/>
      <c r="F20" s="539"/>
      <c r="G20" s="539"/>
      <c r="H20" s="539"/>
      <c r="I20" s="539"/>
      <c r="J20" s="539"/>
      <c r="K20" s="539"/>
      <c r="L20" s="539"/>
      <c r="M20" s="540"/>
      <c r="N20" s="541" t="str">
        <f t="shared" si="0"/>
        <v/>
      </c>
      <c r="O20" s="459"/>
      <c r="P20" s="514" t="s">
        <v>527</v>
      </c>
      <c r="Q20" s="568" t="str">
        <f>IF(C15&lt;&gt;"",CONCATENATE("{(",TEXT($N$33,"0.000")," x ",CHOOSE($J$11,0,T23,U23),")^2 - (",TEXT($Q$17,"0.000")," ^2/(",$H$11," x ",$F$11,"))}^1/2"),"")</f>
        <v/>
      </c>
      <c r="R20" s="15"/>
      <c r="S20" s="15"/>
      <c r="T20" s="15"/>
      <c r="U20" s="567"/>
      <c r="V20" s="545"/>
      <c r="W20" s="514" t="s">
        <v>527</v>
      </c>
      <c r="X20" s="15" t="str">
        <f>IF(C15&lt;&gt;"",CONCATENATE("100(",TEXT($Q$21,"0.000"),"/",TEXT($Q$35,"0.000"),")"),"")</f>
        <v/>
      </c>
      <c r="Y20" s="16"/>
    </row>
    <row r="21" spans="1:25" ht="18" customHeight="1">
      <c r="A21" s="553">
        <v>7</v>
      </c>
      <c r="B21" s="547">
        <v>2</v>
      </c>
      <c r="C21" s="548"/>
      <c r="D21" s="548"/>
      <c r="E21" s="548"/>
      <c r="F21" s="548"/>
      <c r="G21" s="548"/>
      <c r="H21" s="548"/>
      <c r="I21" s="548"/>
      <c r="J21" s="548"/>
      <c r="K21" s="548"/>
      <c r="L21" s="548"/>
      <c r="M21" s="51"/>
      <c r="N21" s="549" t="str">
        <f t="shared" si="0"/>
        <v/>
      </c>
      <c r="O21" s="459"/>
      <c r="P21" s="514" t="s">
        <v>527</v>
      </c>
      <c r="Q21" s="569" t="str">
        <f>IF(C15="","",IF(($N$33*CHOOSE($J$11,0,T23,U23))^2-$Q$17^2/($H$11*$F$11)&lt;0,0,(($N$33*CHOOSE($J$11,0,T23,U23))^2-$Q$17^2/($H$11*$F$11))^(1/2)))</f>
        <v/>
      </c>
      <c r="R21" s="15"/>
      <c r="S21" s="15"/>
      <c r="T21" s="15"/>
      <c r="U21" s="567"/>
      <c r="V21" s="545"/>
      <c r="W21" s="514" t="s">
        <v>527</v>
      </c>
      <c r="X21" s="570" t="str">
        <f>IF(C15&lt;&gt;"",100*($Q$21/$Q$35),"")</f>
        <v/>
      </c>
      <c r="Y21" s="16"/>
    </row>
    <row r="22" spans="1:25" ht="18" customHeight="1">
      <c r="A22" s="553">
        <f>A21+1</f>
        <v>8</v>
      </c>
      <c r="B22" s="554">
        <v>3</v>
      </c>
      <c r="C22" s="548"/>
      <c r="D22" s="548"/>
      <c r="E22" s="548"/>
      <c r="F22" s="548"/>
      <c r="G22" s="548"/>
      <c r="H22" s="548"/>
      <c r="I22" s="548"/>
      <c r="J22" s="548"/>
      <c r="K22" s="548"/>
      <c r="L22" s="548"/>
      <c r="M22" s="51"/>
      <c r="N22" s="549" t="str">
        <f t="shared" si="0"/>
        <v/>
      </c>
      <c r="O22" s="459"/>
      <c r="P22" s="514"/>
      <c r="Q22" s="569"/>
      <c r="R22" s="15"/>
      <c r="S22" s="571" t="s">
        <v>516</v>
      </c>
      <c r="T22" s="42">
        <v>2</v>
      </c>
      <c r="U22" s="42">
        <v>3</v>
      </c>
      <c r="V22" s="499"/>
      <c r="W22" s="51"/>
      <c r="X22" s="51"/>
      <c r="Y22" s="560"/>
    </row>
    <row r="23" spans="1:25" ht="18" customHeight="1">
      <c r="A23" s="553">
        <f>A22+1</f>
        <v>9</v>
      </c>
      <c r="B23" s="554" t="s">
        <v>251</v>
      </c>
      <c r="C23" s="561" t="str">
        <f t="shared" ref="C23:L23" si="3">IF(C20&lt;&gt;"",SUM(C20:C22)/COUNT(C20:C22),"")</f>
        <v/>
      </c>
      <c r="D23" s="561" t="str">
        <f t="shared" si="3"/>
        <v/>
      </c>
      <c r="E23" s="561" t="str">
        <f t="shared" si="3"/>
        <v/>
      </c>
      <c r="F23" s="561" t="str">
        <f t="shared" si="3"/>
        <v/>
      </c>
      <c r="G23" s="561" t="str">
        <f t="shared" si="3"/>
        <v/>
      </c>
      <c r="H23" s="561" t="str">
        <f t="shared" si="3"/>
        <v/>
      </c>
      <c r="I23" s="561" t="str">
        <f t="shared" si="3"/>
        <v/>
      </c>
      <c r="J23" s="561" t="str">
        <f t="shared" si="3"/>
        <v/>
      </c>
      <c r="K23" s="561" t="str">
        <f t="shared" si="3"/>
        <v/>
      </c>
      <c r="L23" s="561" t="str">
        <f t="shared" si="3"/>
        <v/>
      </c>
      <c r="M23" s="562" t="s">
        <v>541</v>
      </c>
      <c r="N23" s="549" t="str">
        <f t="shared" si="0"/>
        <v/>
      </c>
      <c r="O23" s="555" t="s">
        <v>542</v>
      </c>
      <c r="P23" s="51"/>
      <c r="Q23" s="51"/>
      <c r="R23" s="51"/>
      <c r="S23" s="572" t="s">
        <v>543</v>
      </c>
      <c r="T23" s="572">
        <v>0.7087</v>
      </c>
      <c r="U23" s="573">
        <v>0.52359999999999995</v>
      </c>
      <c r="V23" s="535"/>
      <c r="W23" s="48"/>
      <c r="X23" s="48"/>
      <c r="Y23" s="536"/>
    </row>
    <row r="24" spans="1:25" ht="18" customHeight="1" thickBot="1">
      <c r="A24" s="563">
        <f>A23+1</f>
        <v>10</v>
      </c>
      <c r="B24" s="564" t="s">
        <v>534</v>
      </c>
      <c r="C24" s="565" t="str">
        <f t="shared" ref="C24:L24" si="4">IF(C20&lt;&gt;"",MAX(C20:C22)-MIN(C20:C22),"")</f>
        <v/>
      </c>
      <c r="D24" s="565" t="str">
        <f t="shared" si="4"/>
        <v/>
      </c>
      <c r="E24" s="565" t="str">
        <f t="shared" si="4"/>
        <v/>
      </c>
      <c r="F24" s="565" t="str">
        <f t="shared" si="4"/>
        <v/>
      </c>
      <c r="G24" s="565" t="str">
        <f t="shared" si="4"/>
        <v/>
      </c>
      <c r="H24" s="565" t="str">
        <f t="shared" si="4"/>
        <v/>
      </c>
      <c r="I24" s="565" t="str">
        <f t="shared" si="4"/>
        <v/>
      </c>
      <c r="J24" s="565" t="str">
        <f t="shared" si="4"/>
        <v/>
      </c>
      <c r="K24" s="565" t="str">
        <f t="shared" si="4"/>
        <v/>
      </c>
      <c r="L24" s="565" t="str">
        <f t="shared" si="4"/>
        <v/>
      </c>
      <c r="M24" s="566" t="s">
        <v>544</v>
      </c>
      <c r="N24" s="549" t="str">
        <f t="shared" si="0"/>
        <v/>
      </c>
      <c r="O24" s="534" t="s">
        <v>545</v>
      </c>
      <c r="P24" s="48"/>
      <c r="Q24" s="48"/>
      <c r="R24" s="48"/>
      <c r="S24" s="48"/>
      <c r="T24" s="48"/>
      <c r="U24" s="506"/>
      <c r="V24" s="545" t="s">
        <v>546</v>
      </c>
      <c r="W24" s="514" t="s">
        <v>527</v>
      </c>
      <c r="X24" s="15" t="s">
        <v>547</v>
      </c>
      <c r="Y24" s="16"/>
    </row>
    <row r="25" spans="1:25" ht="18" customHeight="1">
      <c r="A25" s="537" t="s">
        <v>548</v>
      </c>
      <c r="B25" s="538">
        <v>1</v>
      </c>
      <c r="C25" s="539"/>
      <c r="D25" s="539"/>
      <c r="E25" s="539"/>
      <c r="F25" s="539"/>
      <c r="G25" s="539"/>
      <c r="H25" s="539"/>
      <c r="I25" s="539"/>
      <c r="J25" s="539"/>
      <c r="K25" s="539"/>
      <c r="L25" s="539"/>
      <c r="M25" s="540"/>
      <c r="N25" s="541" t="str">
        <f t="shared" si="0"/>
        <v/>
      </c>
      <c r="O25" s="542" t="s">
        <v>549</v>
      </c>
      <c r="P25" s="514" t="s">
        <v>527</v>
      </c>
      <c r="Q25" s="15" t="s">
        <v>550</v>
      </c>
      <c r="R25" s="15"/>
      <c r="S25" s="15"/>
      <c r="T25" s="42" t="s">
        <v>515</v>
      </c>
      <c r="U25" s="544" t="s">
        <v>551</v>
      </c>
      <c r="V25" s="545"/>
      <c r="W25" s="514" t="s">
        <v>527</v>
      </c>
      <c r="X25" s="15" t="str">
        <f>IF(C15&lt;&gt;"",CONCATENATE("100(",TEXT($Q$27,"0.000"),"/",TEXT($Q$35,"0.000"),")"),"")</f>
        <v/>
      </c>
      <c r="Y25" s="16"/>
    </row>
    <row r="26" spans="1:25" ht="18" customHeight="1">
      <c r="A26" s="553">
        <v>12</v>
      </c>
      <c r="B26" s="547">
        <v>2</v>
      </c>
      <c r="C26" s="548"/>
      <c r="D26" s="548"/>
      <c r="E26" s="548"/>
      <c r="F26" s="548"/>
      <c r="G26" s="548"/>
      <c r="H26" s="548"/>
      <c r="I26" s="548"/>
      <c r="J26" s="548"/>
      <c r="K26" s="548"/>
      <c r="L26" s="548"/>
      <c r="M26" s="51"/>
      <c r="N26" s="549" t="str">
        <f t="shared" si="0"/>
        <v/>
      </c>
      <c r="O26" s="459"/>
      <c r="P26" s="514" t="s">
        <v>527</v>
      </c>
      <c r="Q26" s="574" t="str">
        <f>IF(C15&lt;&gt;"",CONCATENATE("{(",TEXT($Q$17,"0.000"),"^2 + ",TEXT($Q$21,"0.000"),"^2)}^1/2"),"")</f>
        <v/>
      </c>
      <c r="R26" s="15"/>
      <c r="S26" s="15"/>
      <c r="T26" s="550">
        <v>2</v>
      </c>
      <c r="U26" s="575">
        <v>0.7087</v>
      </c>
      <c r="V26" s="545"/>
      <c r="W26" s="514" t="s">
        <v>527</v>
      </c>
      <c r="X26" s="570" t="str">
        <f>IF(C15&lt;&gt;"",100*($Q$27/$Q$35),"")</f>
        <v/>
      </c>
      <c r="Y26" s="16"/>
    </row>
    <row r="27" spans="1:25" ht="18" customHeight="1">
      <c r="A27" s="553">
        <f>A26+1</f>
        <v>13</v>
      </c>
      <c r="B27" s="554">
        <v>3</v>
      </c>
      <c r="C27" s="548"/>
      <c r="D27" s="548"/>
      <c r="E27" s="548"/>
      <c r="F27" s="548"/>
      <c r="G27" s="548"/>
      <c r="H27" s="548"/>
      <c r="I27" s="548"/>
      <c r="J27" s="548"/>
      <c r="K27" s="548"/>
      <c r="L27" s="548"/>
      <c r="M27" s="51"/>
      <c r="N27" s="549" t="str">
        <f t="shared" si="0"/>
        <v/>
      </c>
      <c r="O27" s="555"/>
      <c r="P27" s="556" t="s">
        <v>527</v>
      </c>
      <c r="Q27" s="576" t="str">
        <f>IF(C15&lt;&gt;"",($Q$17^2+$Q$21^2)^(1/2),"")</f>
        <v/>
      </c>
      <c r="R27" s="51"/>
      <c r="S27" s="51"/>
      <c r="T27" s="550">
        <v>3</v>
      </c>
      <c r="U27" s="575">
        <v>0.52359999999999995</v>
      </c>
      <c r="V27" s="577" t="str">
        <f>IF(C16&lt;&gt;"",IF(X26&lt;10,"Gage system O.K",IF(X26&lt;30,"Gage system may be acceptable","Gage system needs improvement")),"")</f>
        <v/>
      </c>
      <c r="W27" s="578"/>
      <c r="X27" s="579"/>
      <c r="Y27" s="580"/>
    </row>
    <row r="28" spans="1:25" ht="18" customHeight="1">
      <c r="A28" s="553">
        <f>A27+1</f>
        <v>14</v>
      </c>
      <c r="B28" s="554" t="s">
        <v>251</v>
      </c>
      <c r="C28" s="561" t="str">
        <f t="shared" ref="C28:L28" si="5">IF(C25&lt;&gt;"",SUM(C25:C27)/COUNT(C25:C27),"")</f>
        <v/>
      </c>
      <c r="D28" s="561" t="str">
        <f t="shared" si="5"/>
        <v/>
      </c>
      <c r="E28" s="561" t="str">
        <f t="shared" si="5"/>
        <v/>
      </c>
      <c r="F28" s="561" t="str">
        <f t="shared" si="5"/>
        <v/>
      </c>
      <c r="G28" s="561" t="str">
        <f t="shared" si="5"/>
        <v/>
      </c>
      <c r="H28" s="561" t="str">
        <f t="shared" si="5"/>
        <v/>
      </c>
      <c r="I28" s="561" t="str">
        <f t="shared" si="5"/>
        <v/>
      </c>
      <c r="J28" s="561" t="str">
        <f t="shared" si="5"/>
        <v/>
      </c>
      <c r="K28" s="561" t="str">
        <f t="shared" si="5"/>
        <v/>
      </c>
      <c r="L28" s="561" t="str">
        <f t="shared" si="5"/>
        <v/>
      </c>
      <c r="M28" s="562" t="s">
        <v>552</v>
      </c>
      <c r="N28" s="549" t="str">
        <f t="shared" si="0"/>
        <v/>
      </c>
      <c r="O28" s="534" t="s">
        <v>553</v>
      </c>
      <c r="P28" s="48"/>
      <c r="Q28" s="48"/>
      <c r="R28" s="48"/>
      <c r="S28" s="48"/>
      <c r="T28" s="550">
        <v>4</v>
      </c>
      <c r="U28" s="575">
        <v>0.44640000000000002</v>
      </c>
      <c r="V28" s="535"/>
      <c r="W28" s="48"/>
      <c r="X28" s="48"/>
      <c r="Y28" s="536"/>
    </row>
    <row r="29" spans="1:25" ht="18" customHeight="1" thickBot="1">
      <c r="A29" s="563">
        <f>A28+1</f>
        <v>15</v>
      </c>
      <c r="B29" s="564" t="s">
        <v>534</v>
      </c>
      <c r="C29" s="565" t="str">
        <f t="shared" ref="C29:L29" si="6">IF(C25&lt;&gt;"",MAX(C25:C27)-MIN(C25:C27),"")</f>
        <v/>
      </c>
      <c r="D29" s="565" t="str">
        <f t="shared" si="6"/>
        <v/>
      </c>
      <c r="E29" s="565" t="str">
        <f t="shared" si="6"/>
        <v/>
      </c>
      <c r="F29" s="565" t="str">
        <f t="shared" si="6"/>
        <v/>
      </c>
      <c r="G29" s="565" t="str">
        <f t="shared" si="6"/>
        <v/>
      </c>
      <c r="H29" s="565" t="str">
        <f t="shared" si="6"/>
        <v/>
      </c>
      <c r="I29" s="565" t="str">
        <f t="shared" si="6"/>
        <v/>
      </c>
      <c r="J29" s="565" t="str">
        <f t="shared" si="6"/>
        <v/>
      </c>
      <c r="K29" s="565" t="str">
        <f t="shared" si="6"/>
        <v/>
      </c>
      <c r="L29" s="565" t="str">
        <f t="shared" si="6"/>
        <v/>
      </c>
      <c r="M29" s="566" t="s">
        <v>554</v>
      </c>
      <c r="N29" s="549" t="str">
        <f t="shared" si="0"/>
        <v/>
      </c>
      <c r="O29" s="542" t="s">
        <v>555</v>
      </c>
      <c r="P29" s="514" t="s">
        <v>527</v>
      </c>
      <c r="Q29" s="15" t="s">
        <v>556</v>
      </c>
      <c r="R29" s="15"/>
      <c r="S29" s="15"/>
      <c r="T29" s="550">
        <v>5</v>
      </c>
      <c r="U29" s="575">
        <v>0.4032</v>
      </c>
      <c r="V29" s="545" t="s">
        <v>557</v>
      </c>
      <c r="W29" s="514" t="s">
        <v>527</v>
      </c>
      <c r="X29" s="15" t="s">
        <v>558</v>
      </c>
      <c r="Y29" s="16"/>
    </row>
    <row r="30" spans="1:25" ht="18" customHeight="1">
      <c r="A30" s="581" t="s">
        <v>559</v>
      </c>
      <c r="B30" s="516"/>
      <c r="C30" s="582"/>
      <c r="D30" s="582"/>
      <c r="E30" s="582"/>
      <c r="F30" s="582"/>
      <c r="G30" s="582"/>
      <c r="H30" s="582"/>
      <c r="I30" s="582"/>
      <c r="J30" s="582"/>
      <c r="K30" s="582"/>
      <c r="L30" s="582"/>
      <c r="M30" s="583" t="s">
        <v>560</v>
      </c>
      <c r="N30" s="584" t="str">
        <f>IF(C15&lt;&gt;"",AVERAGE(C31:L31),"")</f>
        <v/>
      </c>
      <c r="O30" s="542"/>
      <c r="P30" s="514" t="s">
        <v>527</v>
      </c>
      <c r="Q30" s="15" t="str">
        <f>IF(C15&lt;&gt;"",CONCATENATE(TEXT($N$31,"0.000")," x ",CHOOSE($H$11,0,U26,U27,U28,U29,U30,U31,U32,U33,U34)),"")</f>
        <v/>
      </c>
      <c r="R30" s="15"/>
      <c r="S30" s="15"/>
      <c r="T30" s="550">
        <v>6</v>
      </c>
      <c r="U30" s="575">
        <v>0.3745</v>
      </c>
      <c r="V30" s="545"/>
      <c r="W30" s="514" t="s">
        <v>527</v>
      </c>
      <c r="X30" s="568" t="str">
        <f>IF(C15&lt;&gt;"",CONCATENATE("100(",TEXT($Q$31,"0.000"),"/",TEXT($Q$35,"0.000"),")"),"")</f>
        <v/>
      </c>
      <c r="Y30" s="16"/>
    </row>
    <row r="31" spans="1:25" ht="18" customHeight="1" thickBot="1">
      <c r="A31" s="585" t="s">
        <v>561</v>
      </c>
      <c r="B31" s="531"/>
      <c r="C31" s="586" t="str">
        <f>IF(C18&lt;&gt;"",SUM(C18,C23,C28)/COUNT(C18,C23,C28),"")</f>
        <v/>
      </c>
      <c r="D31" s="586" t="str">
        <f t="shared" ref="D31:L31" si="7">IF(D18&lt;&gt;"",SUM(D18,D23,D28)/COUNT(D18,D23,D28),"")</f>
        <v/>
      </c>
      <c r="E31" s="586" t="str">
        <f t="shared" si="7"/>
        <v/>
      </c>
      <c r="F31" s="586" t="str">
        <f t="shared" si="7"/>
        <v/>
      </c>
      <c r="G31" s="586" t="str">
        <f t="shared" si="7"/>
        <v/>
      </c>
      <c r="H31" s="586" t="str">
        <f t="shared" si="7"/>
        <v/>
      </c>
      <c r="I31" s="586" t="str">
        <f t="shared" si="7"/>
        <v/>
      </c>
      <c r="J31" s="586" t="str">
        <f t="shared" si="7"/>
        <v/>
      </c>
      <c r="K31" s="586" t="str">
        <f t="shared" si="7"/>
        <v/>
      </c>
      <c r="L31" s="586" t="str">
        <f t="shared" si="7"/>
        <v/>
      </c>
      <c r="M31" s="587" t="s">
        <v>562</v>
      </c>
      <c r="N31" s="588" t="str">
        <f>IF(C15&lt;&gt;"",MAX(C31:L31)-MIN(C31:L31),"")</f>
        <v/>
      </c>
      <c r="O31" s="589"/>
      <c r="P31" s="556" t="s">
        <v>527</v>
      </c>
      <c r="Q31" s="576" t="str">
        <f>IF(C15&lt;&gt;"",$N$31*CHOOSE($H$11,0,U26,U27,U28,U29,U30,U31,U32,U33,U34),"")</f>
        <v/>
      </c>
      <c r="R31" s="51"/>
      <c r="S31" s="51"/>
      <c r="T31" s="550">
        <v>7</v>
      </c>
      <c r="U31" s="575">
        <v>0.35339999999999999</v>
      </c>
      <c r="V31" s="545"/>
      <c r="W31" s="514" t="s">
        <v>527</v>
      </c>
      <c r="X31" s="590" t="str">
        <f>IF(C15&lt;&gt;"",100*($Q$31/$Q$35),"")</f>
        <v/>
      </c>
      <c r="Y31" s="16"/>
    </row>
    <row r="32" spans="1:25" ht="18" customHeight="1">
      <c r="A32" s="591">
        <f>A29+2</f>
        <v>17</v>
      </c>
      <c r="B32" s="540" t="s">
        <v>563</v>
      </c>
      <c r="C32" s="540"/>
      <c r="D32" s="540"/>
      <c r="E32" s="540"/>
      <c r="F32" s="540"/>
      <c r="G32" s="540"/>
      <c r="H32" s="540"/>
      <c r="I32" s="540"/>
      <c r="J32" s="540"/>
      <c r="K32" s="540"/>
      <c r="L32" s="540"/>
      <c r="M32" s="592" t="s">
        <v>564</v>
      </c>
      <c r="N32" s="541" t="str">
        <f>IF(C15&lt;&gt;"",SUM(N19,N24,N29)/COUNT(C15,C20,C25),"")</f>
        <v/>
      </c>
      <c r="O32" s="593" t="s">
        <v>565</v>
      </c>
      <c r="P32" s="48"/>
      <c r="Q32" s="48"/>
      <c r="R32" s="48"/>
      <c r="S32" s="48"/>
      <c r="T32" s="550">
        <v>8</v>
      </c>
      <c r="U32" s="575">
        <v>0.33779999999999999</v>
      </c>
      <c r="V32" s="499"/>
      <c r="W32" s="51"/>
      <c r="X32" s="51"/>
      <c r="Y32" s="560"/>
    </row>
    <row r="33" spans="1:25" ht="18" customHeight="1">
      <c r="A33" s="594">
        <f>A32+1</f>
        <v>18</v>
      </c>
      <c r="B33" s="595" t="s">
        <v>566</v>
      </c>
      <c r="C33" s="596"/>
      <c r="D33" s="596"/>
      <c r="E33" s="596"/>
      <c r="F33" s="596"/>
      <c r="G33" s="596"/>
      <c r="H33" s="596"/>
      <c r="I33" s="596"/>
      <c r="J33" s="596"/>
      <c r="K33" s="596"/>
      <c r="L33" s="596"/>
      <c r="M33" s="597" t="s">
        <v>567</v>
      </c>
      <c r="N33" s="598" t="str">
        <f>IF(C15&lt;&gt;"",MAX(N18,N23,N28)-MIN(N18,N23,N28),"")</f>
        <v/>
      </c>
      <c r="O33" s="545" t="s">
        <v>568</v>
      </c>
      <c r="P33" s="514" t="s">
        <v>527</v>
      </c>
      <c r="Q33" s="15" t="s">
        <v>569</v>
      </c>
      <c r="R33" s="15"/>
      <c r="S33" s="15"/>
      <c r="T33" s="550">
        <v>9</v>
      </c>
      <c r="U33" s="575">
        <v>0.32469999999999999</v>
      </c>
      <c r="V33" s="545" t="s">
        <v>570</v>
      </c>
      <c r="W33" s="514" t="s">
        <v>527</v>
      </c>
      <c r="X33" s="15" t="s">
        <v>571</v>
      </c>
      <c r="Y33" s="16"/>
    </row>
    <row r="34" spans="1:25" ht="18" customHeight="1">
      <c r="A34" s="594">
        <f>A33+1</f>
        <v>19</v>
      </c>
      <c r="B34" s="599" t="s">
        <v>572</v>
      </c>
      <c r="C34" s="596"/>
      <c r="D34" s="596"/>
      <c r="E34" s="600" t="str">
        <f>IF(C15="","",IF(OR(G34&lt;&gt;"",H34&lt;&gt;"",I34&lt;&gt;""),"APPRAISER",""))</f>
        <v/>
      </c>
      <c r="F34" s="601"/>
      <c r="G34" s="602" t="str">
        <f>IF(C15="","",IF(OR(AND($C19&lt;&gt;"",$C19&gt;$N$34),AND($D19&lt;&gt;"",$D19&gt;$N$34),AND($E19&lt;&gt;"",$E19&gt;$N$34),AND($F19&lt;&gt;"",$F19&gt;$N$34),AND($G19&lt;&gt;"",$G19&gt;$N$34),AND($H19&lt;&gt;"",$H19&gt;$N$34),AND($I19&lt;&gt;"",$I19&gt;$N$34),AND($J19&lt;&gt;"",$J19&gt;$N$34),AND($K19&lt;&gt;"",$K19&gt;$N$34),AND($L19&lt;&gt;"",$L19&gt;$N$34)),"A",""))</f>
        <v/>
      </c>
      <c r="H34" s="602" t="str">
        <f>IF(C15="","",IF(OR(AND($C24&lt;&gt;"",$C24&gt;$N$34),AND($D24&lt;&gt;"",$D24&gt;$N$34),AND($E24&lt;&gt;"",$E24&gt;$N$34),AND($F24&lt;&gt;"",$F24&gt;$N$34),AND($G24&lt;&gt;"",$G24&gt;$N$34),AND($H24&lt;&gt;"",$H24&gt;$N$34),AND($I24&lt;&gt;"",$I24&gt;$N$34),AND($J24&lt;&gt;"",$J24&gt;$N$34),AND($K24&lt;&gt;"",$K24&gt;$N$34),AND($L24&lt;&gt;"",$L24&gt;$N$34)),"B",""))</f>
        <v/>
      </c>
      <c r="I34" s="602" t="str">
        <f>IF(C15="","",IF(OR(AND($C29&lt;&gt;"",$C29&gt;$N$34),AND($D29&lt;&gt;"",$D29&gt;$N$34),AND($E29&lt;&gt;"",$E29&gt;$N$34),AND($F29&lt;&gt;"",$F29&gt;$N$34),AND($G29&lt;&gt;"",$G29&gt;$N$34),AND($H29&lt;&gt;"",$H29&gt;$N$34),AND($I29&lt;&gt;"",$I29&gt;$N$34),AND($J29&lt;&gt;"",$J29&gt;$N$34),AND($K29&lt;&gt;"",$K29&gt;$N$34),AND($L29&lt;&gt;"",$L29&gt;$N$34)),"C",""))</f>
        <v/>
      </c>
      <c r="J34" s="601" t="str">
        <f>IF(C15="","",IF(OR(G34&lt;&gt;"",H34&lt;&gt;"",I34&lt;&gt;""),"OUT OF CONTROL",""))</f>
        <v/>
      </c>
      <c r="K34" s="596"/>
      <c r="L34" s="596"/>
      <c r="M34" s="603" t="s">
        <v>573</v>
      </c>
      <c r="N34" s="598" t="str">
        <f>IF(C15&lt;&gt;"",IF(F11=3,2.58*N32,3.27*N32),"")</f>
        <v/>
      </c>
      <c r="O34" s="545"/>
      <c r="P34" s="604" t="s">
        <v>527</v>
      </c>
      <c r="Q34" s="570">
        <f>E9-D9</f>
        <v>0</v>
      </c>
      <c r="R34" s="15"/>
      <c r="S34" s="15"/>
      <c r="T34" s="558">
        <v>10</v>
      </c>
      <c r="U34" s="605">
        <v>0.3145</v>
      </c>
      <c r="V34" s="606"/>
      <c r="W34" s="604" t="s">
        <v>527</v>
      </c>
      <c r="X34" s="568" t="str">
        <f>IF(C15&lt;&gt;"",CONCATENATE("1.41(",TEXT($Q$31,"0.000"),"/",TEXT($Q$27,"0.000"),")"),"")</f>
        <v/>
      </c>
      <c r="Y34" s="16"/>
    </row>
    <row r="35" spans="1:25" ht="18" customHeight="1">
      <c r="A35" s="607"/>
      <c r="B35" s="48"/>
      <c r="C35" s="48"/>
      <c r="D35" s="48"/>
      <c r="E35" s="48"/>
      <c r="F35" s="48"/>
      <c r="G35" s="48"/>
      <c r="H35" s="48"/>
      <c r="I35" s="48"/>
      <c r="J35" s="48"/>
      <c r="K35" s="48"/>
      <c r="L35" s="48"/>
      <c r="M35" s="48"/>
      <c r="N35" s="536"/>
      <c r="O35" s="542"/>
      <c r="P35" s="604" t="s">
        <v>527</v>
      </c>
      <c r="Q35" s="576">
        <f>Q34</f>
        <v>0</v>
      </c>
      <c r="R35" s="15"/>
      <c r="S35" s="15"/>
      <c r="T35" s="15"/>
      <c r="U35" s="506"/>
      <c r="V35" s="15"/>
      <c r="W35" s="604" t="s">
        <v>527</v>
      </c>
      <c r="X35" s="608">
        <v>3</v>
      </c>
      <c r="Y35" s="16"/>
    </row>
    <row r="36" spans="1:25" ht="18" customHeight="1">
      <c r="A36" s="609" t="s">
        <v>574</v>
      </c>
      <c r="B36" s="15"/>
      <c r="C36" s="15"/>
      <c r="D36" s="15"/>
      <c r="E36" s="15"/>
      <c r="F36" s="15"/>
      <c r="G36" s="15"/>
      <c r="H36" s="15"/>
      <c r="I36" s="15"/>
      <c r="J36" s="15"/>
      <c r="K36" s="15"/>
      <c r="L36" s="15"/>
      <c r="M36" s="15"/>
      <c r="N36" s="16"/>
      <c r="O36" s="589"/>
      <c r="P36" s="610"/>
      <c r="Q36" s="557"/>
      <c r="R36" s="51"/>
      <c r="S36" s="51"/>
      <c r="T36" s="51"/>
      <c r="U36" s="500"/>
      <c r="V36" s="703" t="str">
        <f>IF(X35&lt;&gt;"",IF(X35&lt;5,"Gage discrimination low","Gage discrimination acceptable"),"")</f>
        <v>Gage discrimination low</v>
      </c>
      <c r="W36" s="704"/>
      <c r="X36" s="704"/>
      <c r="Y36" s="705"/>
    </row>
    <row r="37" spans="1:25">
      <c r="A37" s="609" t="s">
        <v>575</v>
      </c>
      <c r="B37" s="15"/>
      <c r="C37" s="15"/>
      <c r="D37" s="15"/>
      <c r="E37" s="15"/>
      <c r="F37" s="15"/>
      <c r="G37" s="15"/>
      <c r="H37" s="15"/>
      <c r="I37" s="15"/>
      <c r="J37" s="15"/>
      <c r="K37" s="15"/>
      <c r="L37" s="15"/>
      <c r="M37" s="15"/>
      <c r="N37" s="16"/>
      <c r="O37" s="609"/>
      <c r="P37" s="15"/>
      <c r="Q37" s="15"/>
      <c r="R37" s="15"/>
      <c r="S37" s="15"/>
      <c r="T37" s="15"/>
      <c r="U37" s="15"/>
      <c r="V37" s="15"/>
      <c r="W37" s="15"/>
      <c r="X37" s="15"/>
      <c r="Y37" s="16"/>
    </row>
    <row r="38" spans="1:25">
      <c r="A38" s="609" t="s">
        <v>576</v>
      </c>
      <c r="B38" s="15"/>
      <c r="C38" s="15"/>
      <c r="D38" s="15"/>
      <c r="E38" s="15"/>
      <c r="F38" s="15"/>
      <c r="G38" s="15"/>
      <c r="H38" s="15"/>
      <c r="I38" s="15"/>
      <c r="J38" s="15"/>
      <c r="K38" s="15"/>
      <c r="L38" s="15"/>
      <c r="M38" s="15"/>
      <c r="N38" s="16"/>
      <c r="O38" s="459" t="s">
        <v>577</v>
      </c>
      <c r="P38" s="15"/>
      <c r="Q38" s="15"/>
      <c r="R38" s="15"/>
      <c r="S38" s="15"/>
      <c r="T38" s="15"/>
      <c r="U38" s="15"/>
      <c r="V38" s="15"/>
      <c r="W38" s="15"/>
      <c r="X38" s="15"/>
      <c r="Y38" s="16"/>
    </row>
    <row r="39" spans="1:25" ht="15.75" thickBot="1">
      <c r="A39" s="459"/>
      <c r="B39" s="15"/>
      <c r="C39" s="15"/>
      <c r="D39" s="15"/>
      <c r="E39" s="15"/>
      <c r="F39" s="15"/>
      <c r="G39" s="15"/>
      <c r="H39" s="15"/>
      <c r="I39" s="15"/>
      <c r="J39" s="15"/>
      <c r="K39" s="15"/>
      <c r="L39" s="15"/>
      <c r="M39" s="15"/>
      <c r="N39" s="16"/>
      <c r="O39" s="18"/>
      <c r="P39" s="611"/>
      <c r="Q39" s="19"/>
      <c r="R39" s="19"/>
      <c r="S39" s="19"/>
      <c r="T39" s="19"/>
      <c r="U39" s="19"/>
      <c r="V39" s="19"/>
      <c r="W39" s="19"/>
      <c r="X39" s="19"/>
      <c r="Y39" s="20"/>
    </row>
    <row r="40" spans="1:25">
      <c r="A40" s="609" t="s">
        <v>578</v>
      </c>
      <c r="B40" s="51"/>
      <c r="C40" s="51"/>
      <c r="D40" s="51"/>
      <c r="E40" s="51"/>
      <c r="F40" s="51"/>
      <c r="G40" s="51"/>
      <c r="H40" s="51"/>
      <c r="I40" s="51"/>
      <c r="J40" s="51"/>
      <c r="K40" s="51"/>
      <c r="L40" s="51"/>
      <c r="M40" s="51"/>
      <c r="N40" s="560"/>
      <c r="O40" s="498"/>
    </row>
    <row r="41" spans="1:25">
      <c r="A41" s="609"/>
      <c r="B41" s="51"/>
      <c r="C41" s="51"/>
      <c r="D41" s="51"/>
      <c r="E41" s="51"/>
      <c r="F41" s="51"/>
      <c r="G41" s="51"/>
      <c r="H41" s="51"/>
      <c r="I41" s="51"/>
      <c r="J41" s="51"/>
      <c r="K41" s="51"/>
      <c r="L41" s="51"/>
      <c r="M41" s="51"/>
      <c r="N41" s="560"/>
      <c r="O41" s="498"/>
    </row>
    <row r="42" spans="1:25" ht="15.75" thickBot="1">
      <c r="A42" s="18"/>
      <c r="B42" s="19"/>
      <c r="C42" s="19"/>
      <c r="D42" s="19"/>
      <c r="E42" s="19"/>
      <c r="F42" s="19"/>
      <c r="G42" s="19"/>
      <c r="H42" s="19"/>
      <c r="I42" s="19"/>
      <c r="J42" s="19"/>
      <c r="K42" s="19"/>
      <c r="L42" s="19"/>
      <c r="M42" s="19"/>
      <c r="N42" s="20"/>
      <c r="O42" s="498"/>
    </row>
  </sheetData>
  <mergeCells count="1">
    <mergeCell ref="V36:Y36"/>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N9" sqref="N9"/>
    </sheetView>
  </sheetViews>
  <sheetFormatPr defaultRowHeight="15"/>
  <cols>
    <col min="1" max="1" width="12.5703125" bestFit="1" customWidth="1"/>
    <col min="2" max="2" width="14.85546875" customWidth="1"/>
    <col min="4" max="4" width="11.140625" bestFit="1" customWidth="1"/>
    <col min="6" max="6" width="12.42578125" customWidth="1"/>
    <col min="11" max="11" width="12" customWidth="1"/>
    <col min="12" max="12" width="14.42578125" customWidth="1"/>
  </cols>
  <sheetData>
    <row r="1" spans="1:12" s="1" customFormat="1" ht="45">
      <c r="A1" s="425" t="s">
        <v>387</v>
      </c>
      <c r="B1" s="426" t="s">
        <v>388</v>
      </c>
      <c r="C1" s="426" t="s">
        <v>389</v>
      </c>
      <c r="D1" s="426" t="s">
        <v>390</v>
      </c>
      <c r="E1" s="426" t="s">
        <v>391</v>
      </c>
      <c r="F1" s="427" t="s">
        <v>392</v>
      </c>
      <c r="G1" s="426" t="s">
        <v>393</v>
      </c>
      <c r="H1" s="426" t="s">
        <v>394</v>
      </c>
      <c r="I1" s="426" t="s">
        <v>395</v>
      </c>
      <c r="J1" s="426" t="s">
        <v>396</v>
      </c>
      <c r="K1" s="426" t="s">
        <v>397</v>
      </c>
      <c r="L1" s="428" t="s">
        <v>398</v>
      </c>
    </row>
    <row r="2" spans="1:12">
      <c r="A2" s="27">
        <v>1</v>
      </c>
      <c r="B2" s="22" t="s">
        <v>399</v>
      </c>
      <c r="C2" s="22" t="s">
        <v>399</v>
      </c>
      <c r="D2" s="22" t="s">
        <v>399</v>
      </c>
      <c r="E2" s="22">
        <f>IF(C2=D2,1,0)</f>
        <v>1</v>
      </c>
      <c r="F2" s="429">
        <f>IF(C2=D2,IF(C2=B2,1,0),0)</f>
        <v>1</v>
      </c>
      <c r="G2" s="22" t="s">
        <v>399</v>
      </c>
      <c r="H2" s="22" t="s">
        <v>400</v>
      </c>
      <c r="I2" s="22">
        <f>IF(G2=H2,1,0)</f>
        <v>0</v>
      </c>
      <c r="J2" s="429">
        <f>IF(G2=H2,IF(G2=B2,1,0),0)</f>
        <v>0</v>
      </c>
      <c r="K2" s="22">
        <f>IF(E2=I2,IF(J2=F2,1,0),0)</f>
        <v>0</v>
      </c>
      <c r="L2" s="430">
        <f>IF(C2=B2,IF(C2=D2,IF(G2=D2,IF(G2=H2,1,0),0)))</f>
        <v>0</v>
      </c>
    </row>
    <row r="3" spans="1:12">
      <c r="A3" s="27">
        <v>2</v>
      </c>
      <c r="B3" s="22" t="s">
        <v>399</v>
      </c>
      <c r="C3" s="22" t="s">
        <v>399</v>
      </c>
      <c r="D3" s="22" t="s">
        <v>400</v>
      </c>
      <c r="E3" s="22">
        <f t="shared" ref="E3:E21" si="0">IF(C3=D3,1,0)</f>
        <v>0</v>
      </c>
      <c r="F3" s="429">
        <f t="shared" ref="F3:F21" si="1">IF(C3=D3,IF(C3=B3,1,0),0)</f>
        <v>0</v>
      </c>
      <c r="G3" s="22" t="s">
        <v>400</v>
      </c>
      <c r="H3" s="22" t="s">
        <v>399</v>
      </c>
      <c r="I3" s="22">
        <f t="shared" ref="I3:I21" si="2">IF(G3=H3,1,0)</f>
        <v>0</v>
      </c>
      <c r="J3" s="429">
        <f t="shared" ref="J3:J21" si="3">IF(G3=H3,IF(G3=B3,1,0),0)</f>
        <v>0</v>
      </c>
      <c r="K3" s="22">
        <f t="shared" ref="K3:K21" si="4">IF(E3=I3,IF(J3=F3,1,0),0)</f>
        <v>1</v>
      </c>
      <c r="L3" s="430">
        <v>0</v>
      </c>
    </row>
    <row r="4" spans="1:12">
      <c r="A4" s="27">
        <v>3</v>
      </c>
      <c r="B4" s="22" t="s">
        <v>400</v>
      </c>
      <c r="C4" s="22" t="s">
        <v>400</v>
      </c>
      <c r="D4" s="22" t="s">
        <v>400</v>
      </c>
      <c r="E4" s="22">
        <f t="shared" si="0"/>
        <v>1</v>
      </c>
      <c r="F4" s="429">
        <f t="shared" si="1"/>
        <v>1</v>
      </c>
      <c r="G4" s="22" t="s">
        <v>400</v>
      </c>
      <c r="H4" s="22" t="s">
        <v>400</v>
      </c>
      <c r="I4" s="22">
        <f t="shared" si="2"/>
        <v>1</v>
      </c>
      <c r="J4" s="429">
        <f t="shared" si="3"/>
        <v>1</v>
      </c>
      <c r="K4" s="22">
        <f t="shared" si="4"/>
        <v>1</v>
      </c>
      <c r="L4" s="430">
        <f t="shared" ref="L4:L21" si="5">IF(C4=B4,IF(C4=D4,IF(G4=D4,IF(G4=H4,1,0),0)))</f>
        <v>1</v>
      </c>
    </row>
    <row r="5" spans="1:12">
      <c r="A5" s="27">
        <v>4</v>
      </c>
      <c r="B5" s="22" t="s">
        <v>400</v>
      </c>
      <c r="C5" s="22" t="s">
        <v>400</v>
      </c>
      <c r="D5" s="22" t="s">
        <v>400</v>
      </c>
      <c r="E5" s="22">
        <f t="shared" si="0"/>
        <v>1</v>
      </c>
      <c r="F5" s="429">
        <f t="shared" si="1"/>
        <v>1</v>
      </c>
      <c r="G5" s="22" t="s">
        <v>400</v>
      </c>
      <c r="H5" s="22" t="s">
        <v>400</v>
      </c>
      <c r="I5" s="22">
        <f t="shared" si="2"/>
        <v>1</v>
      </c>
      <c r="J5" s="429">
        <f t="shared" si="3"/>
        <v>1</v>
      </c>
      <c r="K5" s="22">
        <f t="shared" si="4"/>
        <v>1</v>
      </c>
      <c r="L5" s="430">
        <f t="shared" si="5"/>
        <v>1</v>
      </c>
    </row>
    <row r="6" spans="1:12">
      <c r="A6" s="27">
        <v>5</v>
      </c>
      <c r="B6" s="22" t="s">
        <v>399</v>
      </c>
      <c r="C6" s="22" t="s">
        <v>399</v>
      </c>
      <c r="D6" s="22" t="s">
        <v>400</v>
      </c>
      <c r="E6" s="22">
        <f t="shared" si="0"/>
        <v>0</v>
      </c>
      <c r="F6" s="429">
        <f t="shared" si="1"/>
        <v>0</v>
      </c>
      <c r="G6" s="22" t="s">
        <v>399</v>
      </c>
      <c r="H6" s="22" t="s">
        <v>399</v>
      </c>
      <c r="I6" s="22">
        <f t="shared" si="2"/>
        <v>1</v>
      </c>
      <c r="J6" s="429">
        <f t="shared" si="3"/>
        <v>1</v>
      </c>
      <c r="K6" s="22">
        <f t="shared" si="4"/>
        <v>0</v>
      </c>
      <c r="L6" s="430">
        <v>0</v>
      </c>
    </row>
    <row r="7" spans="1:12">
      <c r="A7" s="27">
        <v>6</v>
      </c>
      <c r="B7" s="22" t="s">
        <v>400</v>
      </c>
      <c r="C7" s="22" t="s">
        <v>400</v>
      </c>
      <c r="D7" s="22" t="s">
        <v>400</v>
      </c>
      <c r="E7" s="22">
        <f t="shared" si="0"/>
        <v>1</v>
      </c>
      <c r="F7" s="429">
        <f t="shared" si="1"/>
        <v>1</v>
      </c>
      <c r="G7" s="22" t="s">
        <v>400</v>
      </c>
      <c r="H7" s="22" t="s">
        <v>400</v>
      </c>
      <c r="I7" s="22">
        <f t="shared" si="2"/>
        <v>1</v>
      </c>
      <c r="J7" s="429">
        <f t="shared" si="3"/>
        <v>1</v>
      </c>
      <c r="K7" s="22">
        <f t="shared" si="4"/>
        <v>1</v>
      </c>
      <c r="L7" s="430">
        <f t="shared" si="5"/>
        <v>1</v>
      </c>
    </row>
    <row r="8" spans="1:12">
      <c r="A8" s="27">
        <v>7</v>
      </c>
      <c r="B8" s="22" t="s">
        <v>400</v>
      </c>
      <c r="C8" s="22" t="s">
        <v>400</v>
      </c>
      <c r="D8" s="22" t="s">
        <v>400</v>
      </c>
      <c r="E8" s="22">
        <f t="shared" si="0"/>
        <v>1</v>
      </c>
      <c r="F8" s="429">
        <f t="shared" si="1"/>
        <v>1</v>
      </c>
      <c r="G8" s="22" t="s">
        <v>400</v>
      </c>
      <c r="H8" s="22" t="s">
        <v>400</v>
      </c>
      <c r="I8" s="22">
        <f t="shared" si="2"/>
        <v>1</v>
      </c>
      <c r="J8" s="429">
        <f t="shared" si="3"/>
        <v>1</v>
      </c>
      <c r="K8" s="22">
        <f t="shared" si="4"/>
        <v>1</v>
      </c>
      <c r="L8" s="430">
        <f t="shared" si="5"/>
        <v>1</v>
      </c>
    </row>
    <row r="9" spans="1:12">
      <c r="A9" s="27">
        <v>8</v>
      </c>
      <c r="B9" s="22" t="s">
        <v>400</v>
      </c>
      <c r="C9" s="22" t="s">
        <v>400</v>
      </c>
      <c r="D9" s="22" t="s">
        <v>400</v>
      </c>
      <c r="E9" s="22">
        <f t="shared" si="0"/>
        <v>1</v>
      </c>
      <c r="F9" s="429">
        <f t="shared" si="1"/>
        <v>1</v>
      </c>
      <c r="G9" s="22" t="s">
        <v>400</v>
      </c>
      <c r="H9" s="22" t="s">
        <v>400</v>
      </c>
      <c r="I9" s="22">
        <f t="shared" si="2"/>
        <v>1</v>
      </c>
      <c r="J9" s="429">
        <f t="shared" si="3"/>
        <v>1</v>
      </c>
      <c r="K9" s="22">
        <f t="shared" si="4"/>
        <v>1</v>
      </c>
      <c r="L9" s="430">
        <f t="shared" si="5"/>
        <v>1</v>
      </c>
    </row>
    <row r="10" spans="1:12">
      <c r="A10" s="27">
        <v>9</v>
      </c>
      <c r="B10" s="22" t="s">
        <v>400</v>
      </c>
      <c r="C10" s="22" t="s">
        <v>400</v>
      </c>
      <c r="D10" s="22" t="s">
        <v>400</v>
      </c>
      <c r="E10" s="22">
        <f t="shared" si="0"/>
        <v>1</v>
      </c>
      <c r="F10" s="429">
        <f t="shared" si="1"/>
        <v>1</v>
      </c>
      <c r="G10" s="22" t="s">
        <v>400</v>
      </c>
      <c r="H10" s="22" t="s">
        <v>400</v>
      </c>
      <c r="I10" s="22">
        <f t="shared" si="2"/>
        <v>1</v>
      </c>
      <c r="J10" s="429">
        <f t="shared" si="3"/>
        <v>1</v>
      </c>
      <c r="K10" s="22">
        <f t="shared" si="4"/>
        <v>1</v>
      </c>
      <c r="L10" s="430">
        <f t="shared" si="5"/>
        <v>1</v>
      </c>
    </row>
    <row r="11" spans="1:12">
      <c r="A11" s="27">
        <v>10</v>
      </c>
      <c r="B11" s="22" t="s">
        <v>399</v>
      </c>
      <c r="C11" s="22" t="s">
        <v>399</v>
      </c>
      <c r="D11" s="22" t="s">
        <v>399</v>
      </c>
      <c r="E11" s="22">
        <f t="shared" si="0"/>
        <v>1</v>
      </c>
      <c r="F11" s="429">
        <f t="shared" si="1"/>
        <v>1</v>
      </c>
      <c r="G11" s="22" t="s">
        <v>399</v>
      </c>
      <c r="H11" s="22" t="s">
        <v>399</v>
      </c>
      <c r="I11" s="22">
        <f t="shared" si="2"/>
        <v>1</v>
      </c>
      <c r="J11" s="429">
        <f t="shared" si="3"/>
        <v>1</v>
      </c>
      <c r="K11" s="22">
        <f t="shared" si="4"/>
        <v>1</v>
      </c>
      <c r="L11" s="430">
        <f t="shared" si="5"/>
        <v>1</v>
      </c>
    </row>
    <row r="12" spans="1:12">
      <c r="A12" s="27">
        <v>11</v>
      </c>
      <c r="B12" s="22" t="s">
        <v>399</v>
      </c>
      <c r="C12" s="22" t="s">
        <v>399</v>
      </c>
      <c r="D12" s="22" t="s">
        <v>400</v>
      </c>
      <c r="E12" s="22">
        <f t="shared" si="0"/>
        <v>0</v>
      </c>
      <c r="F12" s="429">
        <f t="shared" si="1"/>
        <v>0</v>
      </c>
      <c r="G12" s="22" t="s">
        <v>399</v>
      </c>
      <c r="H12" s="22" t="s">
        <v>399</v>
      </c>
      <c r="I12" s="22">
        <f t="shared" si="2"/>
        <v>1</v>
      </c>
      <c r="J12" s="429">
        <f t="shared" si="3"/>
        <v>1</v>
      </c>
      <c r="K12" s="22">
        <f t="shared" si="4"/>
        <v>0</v>
      </c>
      <c r="L12" s="430">
        <v>0</v>
      </c>
    </row>
    <row r="13" spans="1:12">
      <c r="A13" s="27">
        <v>12</v>
      </c>
      <c r="B13" s="22" t="s">
        <v>399</v>
      </c>
      <c r="C13" s="22" t="s">
        <v>399</v>
      </c>
      <c r="D13" s="22" t="s">
        <v>399</v>
      </c>
      <c r="E13" s="22">
        <f t="shared" si="0"/>
        <v>1</v>
      </c>
      <c r="F13" s="429">
        <f t="shared" si="1"/>
        <v>1</v>
      </c>
      <c r="G13" s="22" t="s">
        <v>400</v>
      </c>
      <c r="H13" s="22" t="s">
        <v>400</v>
      </c>
      <c r="I13" s="22">
        <f t="shared" si="2"/>
        <v>1</v>
      </c>
      <c r="J13" s="429">
        <f t="shared" si="3"/>
        <v>0</v>
      </c>
      <c r="K13" s="22">
        <f t="shared" si="4"/>
        <v>0</v>
      </c>
      <c r="L13" s="430">
        <f t="shared" si="5"/>
        <v>0</v>
      </c>
    </row>
    <row r="14" spans="1:12">
      <c r="A14" s="27">
        <v>13</v>
      </c>
      <c r="B14" s="22" t="s">
        <v>400</v>
      </c>
      <c r="C14" s="22" t="s">
        <v>399</v>
      </c>
      <c r="D14" s="22" t="s">
        <v>399</v>
      </c>
      <c r="E14" s="22">
        <f t="shared" si="0"/>
        <v>1</v>
      </c>
      <c r="F14" s="429">
        <f t="shared" si="1"/>
        <v>0</v>
      </c>
      <c r="G14" s="22" t="s">
        <v>400</v>
      </c>
      <c r="H14" s="22" t="s">
        <v>400</v>
      </c>
      <c r="I14" s="22">
        <f t="shared" si="2"/>
        <v>1</v>
      </c>
      <c r="J14" s="429">
        <f t="shared" si="3"/>
        <v>1</v>
      </c>
      <c r="K14" s="22">
        <f t="shared" si="4"/>
        <v>0</v>
      </c>
      <c r="L14" s="430">
        <v>0</v>
      </c>
    </row>
    <row r="15" spans="1:12">
      <c r="A15" s="27">
        <v>14</v>
      </c>
      <c r="B15" s="22" t="s">
        <v>400</v>
      </c>
      <c r="C15" s="22" t="s">
        <v>400</v>
      </c>
      <c r="D15" s="22" t="s">
        <v>400</v>
      </c>
      <c r="E15" s="22">
        <f t="shared" si="0"/>
        <v>1</v>
      </c>
      <c r="F15" s="429">
        <f t="shared" si="1"/>
        <v>1</v>
      </c>
      <c r="G15" s="22" t="s">
        <v>400</v>
      </c>
      <c r="H15" s="22" t="s">
        <v>400</v>
      </c>
      <c r="I15" s="22">
        <f t="shared" si="2"/>
        <v>1</v>
      </c>
      <c r="J15" s="429">
        <f t="shared" si="3"/>
        <v>1</v>
      </c>
      <c r="K15" s="22">
        <f t="shared" si="4"/>
        <v>1</v>
      </c>
      <c r="L15" s="430">
        <f t="shared" si="5"/>
        <v>1</v>
      </c>
    </row>
    <row r="16" spans="1:12">
      <c r="A16" s="27">
        <v>15</v>
      </c>
      <c r="B16" s="22" t="s">
        <v>399</v>
      </c>
      <c r="C16" s="22" t="s">
        <v>399</v>
      </c>
      <c r="D16" s="22" t="s">
        <v>399</v>
      </c>
      <c r="E16" s="22">
        <f t="shared" si="0"/>
        <v>1</v>
      </c>
      <c r="F16" s="429">
        <f t="shared" si="1"/>
        <v>1</v>
      </c>
      <c r="G16" s="22" t="s">
        <v>399</v>
      </c>
      <c r="H16" s="22" t="s">
        <v>399</v>
      </c>
      <c r="I16" s="22">
        <f t="shared" si="2"/>
        <v>1</v>
      </c>
      <c r="J16" s="429">
        <f t="shared" si="3"/>
        <v>1</v>
      </c>
      <c r="K16" s="22">
        <f t="shared" si="4"/>
        <v>1</v>
      </c>
      <c r="L16" s="430">
        <f t="shared" si="5"/>
        <v>1</v>
      </c>
    </row>
    <row r="17" spans="1:12">
      <c r="A17" s="27">
        <v>16</v>
      </c>
      <c r="B17" s="22" t="s">
        <v>400</v>
      </c>
      <c r="C17" s="22" t="s">
        <v>400</v>
      </c>
      <c r="D17" s="22" t="s">
        <v>400</v>
      </c>
      <c r="E17" s="22">
        <f t="shared" si="0"/>
        <v>1</v>
      </c>
      <c r="F17" s="429">
        <f t="shared" si="1"/>
        <v>1</v>
      </c>
      <c r="G17" s="22" t="s">
        <v>400</v>
      </c>
      <c r="H17" s="22" t="s">
        <v>400</v>
      </c>
      <c r="I17" s="22">
        <f t="shared" si="2"/>
        <v>1</v>
      </c>
      <c r="J17" s="429">
        <f t="shared" si="3"/>
        <v>1</v>
      </c>
      <c r="K17" s="22">
        <f t="shared" si="4"/>
        <v>1</v>
      </c>
      <c r="L17" s="430">
        <f t="shared" si="5"/>
        <v>1</v>
      </c>
    </row>
    <row r="18" spans="1:12">
      <c r="A18" s="27">
        <v>17</v>
      </c>
      <c r="B18" s="22" t="s">
        <v>400</v>
      </c>
      <c r="C18" s="22" t="s">
        <v>400</v>
      </c>
      <c r="D18" s="22" t="s">
        <v>400</v>
      </c>
      <c r="E18" s="22">
        <f t="shared" si="0"/>
        <v>1</v>
      </c>
      <c r="F18" s="429">
        <f t="shared" si="1"/>
        <v>1</v>
      </c>
      <c r="G18" s="22" t="s">
        <v>400</v>
      </c>
      <c r="H18" s="22" t="s">
        <v>400</v>
      </c>
      <c r="I18" s="22">
        <f t="shared" si="2"/>
        <v>1</v>
      </c>
      <c r="J18" s="429">
        <f t="shared" si="3"/>
        <v>1</v>
      </c>
      <c r="K18" s="22">
        <f t="shared" si="4"/>
        <v>1</v>
      </c>
      <c r="L18" s="430">
        <f t="shared" si="5"/>
        <v>1</v>
      </c>
    </row>
    <row r="19" spans="1:12">
      <c r="A19" s="27">
        <v>18</v>
      </c>
      <c r="B19" s="22" t="s">
        <v>400</v>
      </c>
      <c r="C19" s="22" t="s">
        <v>400</v>
      </c>
      <c r="D19" s="22" t="s">
        <v>400</v>
      </c>
      <c r="E19" s="22">
        <f t="shared" si="0"/>
        <v>1</v>
      </c>
      <c r="F19" s="429">
        <f t="shared" si="1"/>
        <v>1</v>
      </c>
      <c r="G19" s="22" t="s">
        <v>400</v>
      </c>
      <c r="H19" s="22" t="s">
        <v>400</v>
      </c>
      <c r="I19" s="22">
        <f t="shared" si="2"/>
        <v>1</v>
      </c>
      <c r="J19" s="429">
        <f t="shared" si="3"/>
        <v>1</v>
      </c>
      <c r="K19" s="22">
        <f t="shared" si="4"/>
        <v>1</v>
      </c>
      <c r="L19" s="430">
        <f t="shared" si="5"/>
        <v>1</v>
      </c>
    </row>
    <row r="20" spans="1:12">
      <c r="A20" s="27">
        <v>19</v>
      </c>
      <c r="B20" s="22" t="s">
        <v>400</v>
      </c>
      <c r="C20" s="22" t="s">
        <v>400</v>
      </c>
      <c r="D20" s="22" t="s">
        <v>400</v>
      </c>
      <c r="E20" s="22">
        <f t="shared" si="0"/>
        <v>1</v>
      </c>
      <c r="F20" s="429">
        <f t="shared" si="1"/>
        <v>1</v>
      </c>
      <c r="G20" s="22" t="s">
        <v>400</v>
      </c>
      <c r="H20" s="22" t="s">
        <v>400</v>
      </c>
      <c r="I20" s="22">
        <f t="shared" si="2"/>
        <v>1</v>
      </c>
      <c r="J20" s="429">
        <f t="shared" si="3"/>
        <v>1</v>
      </c>
      <c r="K20" s="22">
        <f t="shared" si="4"/>
        <v>1</v>
      </c>
      <c r="L20" s="430">
        <f t="shared" si="5"/>
        <v>1</v>
      </c>
    </row>
    <row r="21" spans="1:12" ht="15.75" thickBot="1">
      <c r="A21" s="30">
        <v>20</v>
      </c>
      <c r="B21" s="31" t="s">
        <v>399</v>
      </c>
      <c r="C21" s="31" t="s">
        <v>399</v>
      </c>
      <c r="D21" s="31" t="s">
        <v>399</v>
      </c>
      <c r="E21" s="31">
        <f t="shared" si="0"/>
        <v>1</v>
      </c>
      <c r="F21" s="431">
        <f t="shared" si="1"/>
        <v>1</v>
      </c>
      <c r="G21" s="31" t="s">
        <v>399</v>
      </c>
      <c r="H21" s="31" t="s">
        <v>399</v>
      </c>
      <c r="I21" s="31">
        <f t="shared" si="2"/>
        <v>1</v>
      </c>
      <c r="J21" s="431">
        <f t="shared" si="3"/>
        <v>1</v>
      </c>
      <c r="K21" s="31">
        <f t="shared" si="4"/>
        <v>1</v>
      </c>
      <c r="L21" s="432">
        <f t="shared" si="5"/>
        <v>1</v>
      </c>
    </row>
    <row r="22" spans="1:12">
      <c r="D22" s="433" t="s">
        <v>401</v>
      </c>
      <c r="E22" s="433">
        <f>COUNTIF(E2:E21,1)</f>
        <v>17</v>
      </c>
      <c r="F22" s="434">
        <f>COUNTIF(F2:F21,1)</f>
        <v>16</v>
      </c>
      <c r="I22" s="433">
        <f>COUNTIF(I2:I21,1)</f>
        <v>18</v>
      </c>
      <c r="J22" s="434">
        <f>COUNTIF(J2:J21,1)</f>
        <v>17</v>
      </c>
      <c r="K22" s="434">
        <f>COUNTIF(K2:K21,1)</f>
        <v>15</v>
      </c>
      <c r="L22" s="434">
        <f>COUNTIF(L2:L21,1)</f>
        <v>14</v>
      </c>
    </row>
    <row r="23" spans="1:12">
      <c r="D23" s="22" t="s">
        <v>402</v>
      </c>
      <c r="E23" s="22">
        <v>20</v>
      </c>
      <c r="F23" s="429">
        <v>20</v>
      </c>
      <c r="I23" s="22">
        <v>20</v>
      </c>
      <c r="J23" s="429">
        <v>20</v>
      </c>
      <c r="K23" s="429">
        <v>20</v>
      </c>
      <c r="L23" s="429">
        <v>20</v>
      </c>
    </row>
    <row r="24" spans="1:12">
      <c r="D24" s="22" t="s">
        <v>403</v>
      </c>
      <c r="E24" s="106">
        <f>E22/E23*100%</f>
        <v>0.85</v>
      </c>
      <c r="F24" s="435">
        <f>F22/F23*100%</f>
        <v>0.8</v>
      </c>
      <c r="I24" s="106">
        <f>I22/I23*100%</f>
        <v>0.9</v>
      </c>
      <c r="J24" s="435">
        <f>J22/J23*100%</f>
        <v>0.85</v>
      </c>
      <c r="K24" s="435">
        <f>K22/K23*100%</f>
        <v>0.75</v>
      </c>
      <c r="L24" s="435">
        <f>L22/L23*100%</f>
        <v>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workbookViewId="0">
      <selection activeCell="H22" sqref="H22"/>
    </sheetView>
  </sheetViews>
  <sheetFormatPr defaultRowHeight="15"/>
  <cols>
    <col min="1" max="1" width="30.7109375" bestFit="1" customWidth="1"/>
    <col min="5" max="5" width="37" customWidth="1"/>
    <col min="6" max="8" width="2.5703125" bestFit="1" customWidth="1"/>
    <col min="257" max="257" width="30.7109375" bestFit="1" customWidth="1"/>
    <col min="261" max="261" width="37" customWidth="1"/>
    <col min="262" max="264" width="2.5703125" bestFit="1" customWidth="1"/>
    <col min="513" max="513" width="30.7109375" bestFit="1" customWidth="1"/>
    <col min="517" max="517" width="37" customWidth="1"/>
    <col min="518" max="520" width="2.5703125" bestFit="1" customWidth="1"/>
    <col min="769" max="769" width="30.7109375" bestFit="1" customWidth="1"/>
    <col min="773" max="773" width="37" customWidth="1"/>
    <col min="774" max="776" width="2.5703125" bestFit="1" customWidth="1"/>
    <col min="1025" max="1025" width="30.7109375" bestFit="1" customWidth="1"/>
    <col min="1029" max="1029" width="37" customWidth="1"/>
    <col min="1030" max="1032" width="2.5703125" bestFit="1" customWidth="1"/>
    <col min="1281" max="1281" width="30.7109375" bestFit="1" customWidth="1"/>
    <col min="1285" max="1285" width="37" customWidth="1"/>
    <col min="1286" max="1288" width="2.5703125" bestFit="1" customWidth="1"/>
    <col min="1537" max="1537" width="30.7109375" bestFit="1" customWidth="1"/>
    <col min="1541" max="1541" width="37" customWidth="1"/>
    <col min="1542" max="1544" width="2.5703125" bestFit="1" customWidth="1"/>
    <col min="1793" max="1793" width="30.7109375" bestFit="1" customWidth="1"/>
    <col min="1797" max="1797" width="37" customWidth="1"/>
    <col min="1798" max="1800" width="2.5703125" bestFit="1" customWidth="1"/>
    <col min="2049" max="2049" width="30.7109375" bestFit="1" customWidth="1"/>
    <col min="2053" max="2053" width="37" customWidth="1"/>
    <col min="2054" max="2056" width="2.5703125" bestFit="1" customWidth="1"/>
    <col min="2305" max="2305" width="30.7109375" bestFit="1" customWidth="1"/>
    <col min="2309" max="2309" width="37" customWidth="1"/>
    <col min="2310" max="2312" width="2.5703125" bestFit="1" customWidth="1"/>
    <col min="2561" max="2561" width="30.7109375" bestFit="1" customWidth="1"/>
    <col min="2565" max="2565" width="37" customWidth="1"/>
    <col min="2566" max="2568" width="2.5703125" bestFit="1" customWidth="1"/>
    <col min="2817" max="2817" width="30.7109375" bestFit="1" customWidth="1"/>
    <col min="2821" max="2821" width="37" customWidth="1"/>
    <col min="2822" max="2824" width="2.5703125" bestFit="1" customWidth="1"/>
    <col min="3073" max="3073" width="30.7109375" bestFit="1" customWidth="1"/>
    <col min="3077" max="3077" width="37" customWidth="1"/>
    <col min="3078" max="3080" width="2.5703125" bestFit="1" customWidth="1"/>
    <col min="3329" max="3329" width="30.7109375" bestFit="1" customWidth="1"/>
    <col min="3333" max="3333" width="37" customWidth="1"/>
    <col min="3334" max="3336" width="2.5703125" bestFit="1" customWidth="1"/>
    <col min="3585" max="3585" width="30.7109375" bestFit="1" customWidth="1"/>
    <col min="3589" max="3589" width="37" customWidth="1"/>
    <col min="3590" max="3592" width="2.5703125" bestFit="1" customWidth="1"/>
    <col min="3841" max="3841" width="30.7109375" bestFit="1" customWidth="1"/>
    <col min="3845" max="3845" width="37" customWidth="1"/>
    <col min="3846" max="3848" width="2.5703125" bestFit="1" customWidth="1"/>
    <col min="4097" max="4097" width="30.7109375" bestFit="1" customWidth="1"/>
    <col min="4101" max="4101" width="37" customWidth="1"/>
    <col min="4102" max="4104" width="2.5703125" bestFit="1" customWidth="1"/>
    <col min="4353" max="4353" width="30.7109375" bestFit="1" customWidth="1"/>
    <col min="4357" max="4357" width="37" customWidth="1"/>
    <col min="4358" max="4360" width="2.5703125" bestFit="1" customWidth="1"/>
    <col min="4609" max="4609" width="30.7109375" bestFit="1" customWidth="1"/>
    <col min="4613" max="4613" width="37" customWidth="1"/>
    <col min="4614" max="4616" width="2.5703125" bestFit="1" customWidth="1"/>
    <col min="4865" max="4865" width="30.7109375" bestFit="1" customWidth="1"/>
    <col min="4869" max="4869" width="37" customWidth="1"/>
    <col min="4870" max="4872" width="2.5703125" bestFit="1" customWidth="1"/>
    <col min="5121" max="5121" width="30.7109375" bestFit="1" customWidth="1"/>
    <col min="5125" max="5125" width="37" customWidth="1"/>
    <col min="5126" max="5128" width="2.5703125" bestFit="1" customWidth="1"/>
    <col min="5377" max="5377" width="30.7109375" bestFit="1" customWidth="1"/>
    <col min="5381" max="5381" width="37" customWidth="1"/>
    <col min="5382" max="5384" width="2.5703125" bestFit="1" customWidth="1"/>
    <col min="5633" max="5633" width="30.7109375" bestFit="1" customWidth="1"/>
    <col min="5637" max="5637" width="37" customWidth="1"/>
    <col min="5638" max="5640" width="2.5703125" bestFit="1" customWidth="1"/>
    <col min="5889" max="5889" width="30.7109375" bestFit="1" customWidth="1"/>
    <col min="5893" max="5893" width="37" customWidth="1"/>
    <col min="5894" max="5896" width="2.5703125" bestFit="1" customWidth="1"/>
    <col min="6145" max="6145" width="30.7109375" bestFit="1" customWidth="1"/>
    <col min="6149" max="6149" width="37" customWidth="1"/>
    <col min="6150" max="6152" width="2.5703125" bestFit="1" customWidth="1"/>
    <col min="6401" max="6401" width="30.7109375" bestFit="1" customWidth="1"/>
    <col min="6405" max="6405" width="37" customWidth="1"/>
    <col min="6406" max="6408" width="2.5703125" bestFit="1" customWidth="1"/>
    <col min="6657" max="6657" width="30.7109375" bestFit="1" customWidth="1"/>
    <col min="6661" max="6661" width="37" customWidth="1"/>
    <col min="6662" max="6664" width="2.5703125" bestFit="1" customWidth="1"/>
    <col min="6913" max="6913" width="30.7109375" bestFit="1" customWidth="1"/>
    <col min="6917" max="6917" width="37" customWidth="1"/>
    <col min="6918" max="6920" width="2.5703125" bestFit="1" customWidth="1"/>
    <col min="7169" max="7169" width="30.7109375" bestFit="1" customWidth="1"/>
    <col min="7173" max="7173" width="37" customWidth="1"/>
    <col min="7174" max="7176" width="2.5703125" bestFit="1" customWidth="1"/>
    <col min="7425" max="7425" width="30.7109375" bestFit="1" customWidth="1"/>
    <col min="7429" max="7429" width="37" customWidth="1"/>
    <col min="7430" max="7432" width="2.5703125" bestFit="1" customWidth="1"/>
    <col min="7681" max="7681" width="30.7109375" bestFit="1" customWidth="1"/>
    <col min="7685" max="7685" width="37" customWidth="1"/>
    <col min="7686" max="7688" width="2.5703125" bestFit="1" customWidth="1"/>
    <col min="7937" max="7937" width="30.7109375" bestFit="1" customWidth="1"/>
    <col min="7941" max="7941" width="37" customWidth="1"/>
    <col min="7942" max="7944" width="2.5703125" bestFit="1" customWidth="1"/>
    <col min="8193" max="8193" width="30.7109375" bestFit="1" customWidth="1"/>
    <col min="8197" max="8197" width="37" customWidth="1"/>
    <col min="8198" max="8200" width="2.5703125" bestFit="1" customWidth="1"/>
    <col min="8449" max="8449" width="30.7109375" bestFit="1" customWidth="1"/>
    <col min="8453" max="8453" width="37" customWidth="1"/>
    <col min="8454" max="8456" width="2.5703125" bestFit="1" customWidth="1"/>
    <col min="8705" max="8705" width="30.7109375" bestFit="1" customWidth="1"/>
    <col min="8709" max="8709" width="37" customWidth="1"/>
    <col min="8710" max="8712" width="2.5703125" bestFit="1" customWidth="1"/>
    <col min="8961" max="8961" width="30.7109375" bestFit="1" customWidth="1"/>
    <col min="8965" max="8965" width="37" customWidth="1"/>
    <col min="8966" max="8968" width="2.5703125" bestFit="1" customWidth="1"/>
    <col min="9217" max="9217" width="30.7109375" bestFit="1" customWidth="1"/>
    <col min="9221" max="9221" width="37" customWidth="1"/>
    <col min="9222" max="9224" width="2.5703125" bestFit="1" customWidth="1"/>
    <col min="9473" max="9473" width="30.7109375" bestFit="1" customWidth="1"/>
    <col min="9477" max="9477" width="37" customWidth="1"/>
    <col min="9478" max="9480" width="2.5703125" bestFit="1" customWidth="1"/>
    <col min="9729" max="9729" width="30.7109375" bestFit="1" customWidth="1"/>
    <col min="9733" max="9733" width="37" customWidth="1"/>
    <col min="9734" max="9736" width="2.5703125" bestFit="1" customWidth="1"/>
    <col min="9985" max="9985" width="30.7109375" bestFit="1" customWidth="1"/>
    <col min="9989" max="9989" width="37" customWidth="1"/>
    <col min="9990" max="9992" width="2.5703125" bestFit="1" customWidth="1"/>
    <col min="10241" max="10241" width="30.7109375" bestFit="1" customWidth="1"/>
    <col min="10245" max="10245" width="37" customWidth="1"/>
    <col min="10246" max="10248" width="2.5703125" bestFit="1" customWidth="1"/>
    <col min="10497" max="10497" width="30.7109375" bestFit="1" customWidth="1"/>
    <col min="10501" max="10501" width="37" customWidth="1"/>
    <col min="10502" max="10504" width="2.5703125" bestFit="1" customWidth="1"/>
    <col min="10753" max="10753" width="30.7109375" bestFit="1" customWidth="1"/>
    <col min="10757" max="10757" width="37" customWidth="1"/>
    <col min="10758" max="10760" width="2.5703125" bestFit="1" customWidth="1"/>
    <col min="11009" max="11009" width="30.7109375" bestFit="1" customWidth="1"/>
    <col min="11013" max="11013" width="37" customWidth="1"/>
    <col min="11014" max="11016" width="2.5703125" bestFit="1" customWidth="1"/>
    <col min="11265" max="11265" width="30.7109375" bestFit="1" customWidth="1"/>
    <col min="11269" max="11269" width="37" customWidth="1"/>
    <col min="11270" max="11272" width="2.5703125" bestFit="1" customWidth="1"/>
    <col min="11521" max="11521" width="30.7109375" bestFit="1" customWidth="1"/>
    <col min="11525" max="11525" width="37" customWidth="1"/>
    <col min="11526" max="11528" width="2.5703125" bestFit="1" customWidth="1"/>
    <col min="11777" max="11777" width="30.7109375" bestFit="1" customWidth="1"/>
    <col min="11781" max="11781" width="37" customWidth="1"/>
    <col min="11782" max="11784" width="2.5703125" bestFit="1" customWidth="1"/>
    <col min="12033" max="12033" width="30.7109375" bestFit="1" customWidth="1"/>
    <col min="12037" max="12037" width="37" customWidth="1"/>
    <col min="12038" max="12040" width="2.5703125" bestFit="1" customWidth="1"/>
    <col min="12289" max="12289" width="30.7109375" bestFit="1" customWidth="1"/>
    <col min="12293" max="12293" width="37" customWidth="1"/>
    <col min="12294" max="12296" width="2.5703125" bestFit="1" customWidth="1"/>
    <col min="12545" max="12545" width="30.7109375" bestFit="1" customWidth="1"/>
    <col min="12549" max="12549" width="37" customWidth="1"/>
    <col min="12550" max="12552" width="2.5703125" bestFit="1" customWidth="1"/>
    <col min="12801" max="12801" width="30.7109375" bestFit="1" customWidth="1"/>
    <col min="12805" max="12805" width="37" customWidth="1"/>
    <col min="12806" max="12808" width="2.5703125" bestFit="1" customWidth="1"/>
    <col min="13057" max="13057" width="30.7109375" bestFit="1" customWidth="1"/>
    <col min="13061" max="13061" width="37" customWidth="1"/>
    <col min="13062" max="13064" width="2.5703125" bestFit="1" customWidth="1"/>
    <col min="13313" max="13313" width="30.7109375" bestFit="1" customWidth="1"/>
    <col min="13317" max="13317" width="37" customWidth="1"/>
    <col min="13318" max="13320" width="2.5703125" bestFit="1" customWidth="1"/>
    <col min="13569" max="13569" width="30.7109375" bestFit="1" customWidth="1"/>
    <col min="13573" max="13573" width="37" customWidth="1"/>
    <col min="13574" max="13576" width="2.5703125" bestFit="1" customWidth="1"/>
    <col min="13825" max="13825" width="30.7109375" bestFit="1" customWidth="1"/>
    <col min="13829" max="13829" width="37" customWidth="1"/>
    <col min="13830" max="13832" width="2.5703125" bestFit="1" customWidth="1"/>
    <col min="14081" max="14081" width="30.7109375" bestFit="1" customWidth="1"/>
    <col min="14085" max="14085" width="37" customWidth="1"/>
    <col min="14086" max="14088" width="2.5703125" bestFit="1" customWidth="1"/>
    <col min="14337" max="14337" width="30.7109375" bestFit="1" customWidth="1"/>
    <col min="14341" max="14341" width="37" customWidth="1"/>
    <col min="14342" max="14344" width="2.5703125" bestFit="1" customWidth="1"/>
    <col min="14593" max="14593" width="30.7109375" bestFit="1" customWidth="1"/>
    <col min="14597" max="14597" width="37" customWidth="1"/>
    <col min="14598" max="14600" width="2.5703125" bestFit="1" customWidth="1"/>
    <col min="14849" max="14849" width="30.7109375" bestFit="1" customWidth="1"/>
    <col min="14853" max="14853" width="37" customWidth="1"/>
    <col min="14854" max="14856" width="2.5703125" bestFit="1" customWidth="1"/>
    <col min="15105" max="15105" width="30.7109375" bestFit="1" customWidth="1"/>
    <col min="15109" max="15109" width="37" customWidth="1"/>
    <col min="15110" max="15112" width="2.5703125" bestFit="1" customWidth="1"/>
    <col min="15361" max="15361" width="30.7109375" bestFit="1" customWidth="1"/>
    <col min="15365" max="15365" width="37" customWidth="1"/>
    <col min="15366" max="15368" width="2.5703125" bestFit="1" customWidth="1"/>
    <col min="15617" max="15617" width="30.7109375" bestFit="1" customWidth="1"/>
    <col min="15621" max="15621" width="37" customWidth="1"/>
    <col min="15622" max="15624" width="2.5703125" bestFit="1" customWidth="1"/>
    <col min="15873" max="15873" width="30.7109375" bestFit="1" customWidth="1"/>
    <col min="15877" max="15877" width="37" customWidth="1"/>
    <col min="15878" max="15880" width="2.5703125" bestFit="1" customWidth="1"/>
    <col min="16129" max="16129" width="30.7109375" bestFit="1" customWidth="1"/>
    <col min="16133" max="16133" width="37" customWidth="1"/>
    <col min="16134" max="16136" width="2.5703125" bestFit="1" customWidth="1"/>
  </cols>
  <sheetData>
    <row r="1" spans="1:10">
      <c r="A1" s="469" t="s">
        <v>466</v>
      </c>
      <c r="B1" s="470" t="s">
        <v>467</v>
      </c>
      <c r="D1" s="471" t="s">
        <v>468</v>
      </c>
      <c r="E1" s="472"/>
    </row>
    <row r="2" spans="1:10">
      <c r="A2" s="469" t="s">
        <v>469</v>
      </c>
      <c r="B2" s="473">
        <v>0.05</v>
      </c>
      <c r="D2" s="474" t="s">
        <v>407</v>
      </c>
      <c r="E2" s="475" t="s">
        <v>470</v>
      </c>
    </row>
    <row r="3" spans="1:10">
      <c r="A3" s="469" t="s">
        <v>471</v>
      </c>
      <c r="B3" s="470">
        <v>700</v>
      </c>
      <c r="D3" s="476" t="s">
        <v>472</v>
      </c>
      <c r="E3" s="477">
        <v>1.28</v>
      </c>
      <c r="J3" s="436" t="s">
        <v>473</v>
      </c>
    </row>
    <row r="4" spans="1:10">
      <c r="A4" s="478"/>
      <c r="D4" s="479">
        <v>0.85</v>
      </c>
      <c r="E4" s="480">
        <v>1.44</v>
      </c>
      <c r="J4" t="s">
        <v>474</v>
      </c>
    </row>
    <row r="5" spans="1:10">
      <c r="A5" s="436" t="s">
        <v>475</v>
      </c>
      <c r="D5" s="476" t="s">
        <v>476</v>
      </c>
      <c r="E5" s="477">
        <v>1.64</v>
      </c>
      <c r="J5" t="s">
        <v>477</v>
      </c>
    </row>
    <row r="6" spans="1:10">
      <c r="A6" s="22" t="s">
        <v>478</v>
      </c>
      <c r="B6" s="481">
        <v>0.5</v>
      </c>
      <c r="D6" s="476" t="s">
        <v>467</v>
      </c>
      <c r="E6" s="477">
        <v>1.96</v>
      </c>
      <c r="J6" t="s">
        <v>479</v>
      </c>
    </row>
    <row r="7" spans="1:10">
      <c r="A7" s="22" t="s">
        <v>480</v>
      </c>
      <c r="B7" s="482">
        <f>ROUND((B6*(1-B6)*(LOOKUP(B1,D3:D10,E3:E10)/B2)^2),)</f>
        <v>384</v>
      </c>
      <c r="D7" s="479">
        <v>0.96</v>
      </c>
      <c r="E7" s="480">
        <v>2.06</v>
      </c>
      <c r="J7" t="s">
        <v>481</v>
      </c>
    </row>
    <row r="8" spans="1:10">
      <c r="A8" s="22" t="s">
        <v>482</v>
      </c>
      <c r="B8" s="483">
        <f>IF(OR(ISBLANK(B3),B3=0),"",ROUND(B7/(1+(B7-1)/B3),))</f>
        <v>248</v>
      </c>
      <c r="D8" s="479">
        <v>0.97</v>
      </c>
      <c r="E8" s="480">
        <v>2.17</v>
      </c>
      <c r="J8" t="s">
        <v>483</v>
      </c>
    </row>
    <row r="9" spans="1:10">
      <c r="D9" s="479">
        <v>0.98</v>
      </c>
      <c r="E9" s="480">
        <v>2.33</v>
      </c>
    </row>
    <row r="10" spans="1:10">
      <c r="A10" s="436" t="s">
        <v>484</v>
      </c>
      <c r="D10" s="476" t="s">
        <v>485</v>
      </c>
      <c r="E10" s="477">
        <v>2.58</v>
      </c>
      <c r="J10" s="436" t="s">
        <v>486</v>
      </c>
    </row>
    <row r="11" spans="1:10">
      <c r="A11" s="22" t="s">
        <v>487</v>
      </c>
      <c r="B11" s="484">
        <f>D14</f>
        <v>0.16700000000000001</v>
      </c>
      <c r="D11" s="485" t="s">
        <v>488</v>
      </c>
      <c r="E11" s="486"/>
      <c r="J11" t="s">
        <v>489</v>
      </c>
    </row>
    <row r="12" spans="1:10">
      <c r="A12" s="22" t="s">
        <v>480</v>
      </c>
      <c r="B12" s="487">
        <f>ROUND(((LOOKUP(B1,D3:D10,E3:E10)^2*B11^2)/B2^2),)</f>
        <v>43</v>
      </c>
      <c r="D12" s="488">
        <v>0.05</v>
      </c>
      <c r="E12" s="489" t="s">
        <v>490</v>
      </c>
      <c r="J12" t="s">
        <v>491</v>
      </c>
    </row>
    <row r="13" spans="1:10">
      <c r="A13" s="22" t="s">
        <v>482</v>
      </c>
      <c r="B13" s="483">
        <f>IF(OR(ISBLANK(B3),B3=0),"",ROUND(B12/(1+(B12-1)/B3),))</f>
        <v>41</v>
      </c>
      <c r="D13" s="490">
        <v>0.5</v>
      </c>
      <c r="E13" s="489" t="s">
        <v>492</v>
      </c>
      <c r="J13" t="s">
        <v>493</v>
      </c>
    </row>
    <row r="14" spans="1:10">
      <c r="D14" s="491">
        <v>0.16700000000000001</v>
      </c>
      <c r="E14" s="489" t="s">
        <v>487</v>
      </c>
      <c r="J14" t="s">
        <v>494</v>
      </c>
    </row>
  </sheetData>
  <dataValidations count="2">
    <dataValidation type="whole" allowBlank="1" showInputMessage="1" showErrorMessage="1" sqref="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WVJ983043">
      <formula1>1</formula1>
      <formula2>999999999</formula2>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$D$3:$D$10</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F16" sqref="F16"/>
    </sheetView>
  </sheetViews>
  <sheetFormatPr defaultRowHeight="15"/>
  <cols>
    <col min="1" max="1" width="36.85546875" customWidth="1"/>
    <col min="2" max="2" width="11.5703125" bestFit="1" customWidth="1"/>
    <col min="257" max="257" width="36.85546875" customWidth="1"/>
    <col min="258" max="258" width="11.5703125" bestFit="1" customWidth="1"/>
    <col min="513" max="513" width="36.85546875" customWidth="1"/>
    <col min="514" max="514" width="11.5703125" bestFit="1" customWidth="1"/>
    <col min="769" max="769" width="36.85546875" customWidth="1"/>
    <col min="770" max="770" width="11.5703125" bestFit="1" customWidth="1"/>
    <col min="1025" max="1025" width="36.85546875" customWidth="1"/>
    <col min="1026" max="1026" width="11.5703125" bestFit="1" customWidth="1"/>
    <col min="1281" max="1281" width="36.85546875" customWidth="1"/>
    <col min="1282" max="1282" width="11.5703125" bestFit="1" customWidth="1"/>
    <col min="1537" max="1537" width="36.85546875" customWidth="1"/>
    <col min="1538" max="1538" width="11.5703125" bestFit="1" customWidth="1"/>
    <col min="1793" max="1793" width="36.85546875" customWidth="1"/>
    <col min="1794" max="1794" width="11.5703125" bestFit="1" customWidth="1"/>
    <col min="2049" max="2049" width="36.85546875" customWidth="1"/>
    <col min="2050" max="2050" width="11.5703125" bestFit="1" customWidth="1"/>
    <col min="2305" max="2305" width="36.85546875" customWidth="1"/>
    <col min="2306" max="2306" width="11.5703125" bestFit="1" customWidth="1"/>
    <col min="2561" max="2561" width="36.85546875" customWidth="1"/>
    <col min="2562" max="2562" width="11.5703125" bestFit="1" customWidth="1"/>
    <col min="2817" max="2817" width="36.85546875" customWidth="1"/>
    <col min="2818" max="2818" width="11.5703125" bestFit="1" customWidth="1"/>
    <col min="3073" max="3073" width="36.85546875" customWidth="1"/>
    <col min="3074" max="3074" width="11.5703125" bestFit="1" customWidth="1"/>
    <col min="3329" max="3329" width="36.85546875" customWidth="1"/>
    <col min="3330" max="3330" width="11.5703125" bestFit="1" customWidth="1"/>
    <col min="3585" max="3585" width="36.85546875" customWidth="1"/>
    <col min="3586" max="3586" width="11.5703125" bestFit="1" customWidth="1"/>
    <col min="3841" max="3841" width="36.85546875" customWidth="1"/>
    <col min="3842" max="3842" width="11.5703125" bestFit="1" customWidth="1"/>
    <col min="4097" max="4097" width="36.85546875" customWidth="1"/>
    <col min="4098" max="4098" width="11.5703125" bestFit="1" customWidth="1"/>
    <col min="4353" max="4353" width="36.85546875" customWidth="1"/>
    <col min="4354" max="4354" width="11.5703125" bestFit="1" customWidth="1"/>
    <col min="4609" max="4609" width="36.85546875" customWidth="1"/>
    <col min="4610" max="4610" width="11.5703125" bestFit="1" customWidth="1"/>
    <col min="4865" max="4865" width="36.85546875" customWidth="1"/>
    <col min="4866" max="4866" width="11.5703125" bestFit="1" customWidth="1"/>
    <col min="5121" max="5121" width="36.85546875" customWidth="1"/>
    <col min="5122" max="5122" width="11.5703125" bestFit="1" customWidth="1"/>
    <col min="5377" max="5377" width="36.85546875" customWidth="1"/>
    <col min="5378" max="5378" width="11.5703125" bestFit="1" customWidth="1"/>
    <col min="5633" max="5633" width="36.85546875" customWidth="1"/>
    <col min="5634" max="5634" width="11.5703125" bestFit="1" customWidth="1"/>
    <col min="5889" max="5889" width="36.85546875" customWidth="1"/>
    <col min="5890" max="5890" width="11.5703125" bestFit="1" customWidth="1"/>
    <col min="6145" max="6145" width="36.85546875" customWidth="1"/>
    <col min="6146" max="6146" width="11.5703125" bestFit="1" customWidth="1"/>
    <col min="6401" max="6401" width="36.85546875" customWidth="1"/>
    <col min="6402" max="6402" width="11.5703125" bestFit="1" customWidth="1"/>
    <col min="6657" max="6657" width="36.85546875" customWidth="1"/>
    <col min="6658" max="6658" width="11.5703125" bestFit="1" customWidth="1"/>
    <col min="6913" max="6913" width="36.85546875" customWidth="1"/>
    <col min="6914" max="6914" width="11.5703125" bestFit="1" customWidth="1"/>
    <col min="7169" max="7169" width="36.85546875" customWidth="1"/>
    <col min="7170" max="7170" width="11.5703125" bestFit="1" customWidth="1"/>
    <col min="7425" max="7425" width="36.85546875" customWidth="1"/>
    <col min="7426" max="7426" width="11.5703125" bestFit="1" customWidth="1"/>
    <col min="7681" max="7681" width="36.85546875" customWidth="1"/>
    <col min="7682" max="7682" width="11.5703125" bestFit="1" customWidth="1"/>
    <col min="7937" max="7937" width="36.85546875" customWidth="1"/>
    <col min="7938" max="7938" width="11.5703125" bestFit="1" customWidth="1"/>
    <col min="8193" max="8193" width="36.85546875" customWidth="1"/>
    <col min="8194" max="8194" width="11.5703125" bestFit="1" customWidth="1"/>
    <col min="8449" max="8449" width="36.85546875" customWidth="1"/>
    <col min="8450" max="8450" width="11.5703125" bestFit="1" customWidth="1"/>
    <col min="8705" max="8705" width="36.85546875" customWidth="1"/>
    <col min="8706" max="8706" width="11.5703125" bestFit="1" customWidth="1"/>
    <col min="8961" max="8961" width="36.85546875" customWidth="1"/>
    <col min="8962" max="8962" width="11.5703125" bestFit="1" customWidth="1"/>
    <col min="9217" max="9217" width="36.85546875" customWidth="1"/>
    <col min="9218" max="9218" width="11.5703125" bestFit="1" customWidth="1"/>
    <col min="9473" max="9473" width="36.85546875" customWidth="1"/>
    <col min="9474" max="9474" width="11.5703125" bestFit="1" customWidth="1"/>
    <col min="9729" max="9729" width="36.85546875" customWidth="1"/>
    <col min="9730" max="9730" width="11.5703125" bestFit="1" customWidth="1"/>
    <col min="9985" max="9985" width="36.85546875" customWidth="1"/>
    <col min="9986" max="9986" width="11.5703125" bestFit="1" customWidth="1"/>
    <col min="10241" max="10241" width="36.85546875" customWidth="1"/>
    <col min="10242" max="10242" width="11.5703125" bestFit="1" customWidth="1"/>
    <col min="10497" max="10497" width="36.85546875" customWidth="1"/>
    <col min="10498" max="10498" width="11.5703125" bestFit="1" customWidth="1"/>
    <col min="10753" max="10753" width="36.85546875" customWidth="1"/>
    <col min="10754" max="10754" width="11.5703125" bestFit="1" customWidth="1"/>
    <col min="11009" max="11009" width="36.85546875" customWidth="1"/>
    <col min="11010" max="11010" width="11.5703125" bestFit="1" customWidth="1"/>
    <col min="11265" max="11265" width="36.85546875" customWidth="1"/>
    <col min="11266" max="11266" width="11.5703125" bestFit="1" customWidth="1"/>
    <col min="11521" max="11521" width="36.85546875" customWidth="1"/>
    <col min="11522" max="11522" width="11.5703125" bestFit="1" customWidth="1"/>
    <col min="11777" max="11777" width="36.85546875" customWidth="1"/>
    <col min="11778" max="11778" width="11.5703125" bestFit="1" customWidth="1"/>
    <col min="12033" max="12033" width="36.85546875" customWidth="1"/>
    <col min="12034" max="12034" width="11.5703125" bestFit="1" customWidth="1"/>
    <col min="12289" max="12289" width="36.85546875" customWidth="1"/>
    <col min="12290" max="12290" width="11.5703125" bestFit="1" customWidth="1"/>
    <col min="12545" max="12545" width="36.85546875" customWidth="1"/>
    <col min="12546" max="12546" width="11.5703125" bestFit="1" customWidth="1"/>
    <col min="12801" max="12801" width="36.85546875" customWidth="1"/>
    <col min="12802" max="12802" width="11.5703125" bestFit="1" customWidth="1"/>
    <col min="13057" max="13057" width="36.85546875" customWidth="1"/>
    <col min="13058" max="13058" width="11.5703125" bestFit="1" customWidth="1"/>
    <col min="13313" max="13313" width="36.85546875" customWidth="1"/>
    <col min="13314" max="13314" width="11.5703125" bestFit="1" customWidth="1"/>
    <col min="13569" max="13569" width="36.85546875" customWidth="1"/>
    <col min="13570" max="13570" width="11.5703125" bestFit="1" customWidth="1"/>
    <col min="13825" max="13825" width="36.85546875" customWidth="1"/>
    <col min="13826" max="13826" width="11.5703125" bestFit="1" customWidth="1"/>
    <col min="14081" max="14081" width="36.85546875" customWidth="1"/>
    <col min="14082" max="14082" width="11.5703125" bestFit="1" customWidth="1"/>
    <col min="14337" max="14337" width="36.85546875" customWidth="1"/>
    <col min="14338" max="14338" width="11.5703125" bestFit="1" customWidth="1"/>
    <col min="14593" max="14593" width="36.85546875" customWidth="1"/>
    <col min="14594" max="14594" width="11.5703125" bestFit="1" customWidth="1"/>
    <col min="14849" max="14849" width="36.85546875" customWidth="1"/>
    <col min="14850" max="14850" width="11.5703125" bestFit="1" customWidth="1"/>
    <col min="15105" max="15105" width="36.85546875" customWidth="1"/>
    <col min="15106" max="15106" width="11.5703125" bestFit="1" customWidth="1"/>
    <col min="15361" max="15361" width="36.85546875" customWidth="1"/>
    <col min="15362" max="15362" width="11.5703125" bestFit="1" customWidth="1"/>
    <col min="15617" max="15617" width="36.85546875" customWidth="1"/>
    <col min="15618" max="15618" width="11.5703125" bestFit="1" customWidth="1"/>
    <col min="15873" max="15873" width="36.85546875" customWidth="1"/>
    <col min="15874" max="15874" width="11.5703125" bestFit="1" customWidth="1"/>
    <col min="16129" max="16129" width="36.85546875" customWidth="1"/>
    <col min="16130" max="16130" width="11.5703125" bestFit="1" customWidth="1"/>
  </cols>
  <sheetData>
    <row r="2" spans="1:6">
      <c r="A2" s="436" t="s">
        <v>404</v>
      </c>
    </row>
    <row r="3" spans="1:6">
      <c r="A3" s="437" t="s">
        <v>405</v>
      </c>
      <c r="B3" s="438">
        <v>6</v>
      </c>
    </row>
    <row r="4" spans="1:6">
      <c r="A4" s="439" t="s">
        <v>406</v>
      </c>
      <c r="B4" s="440">
        <f>1000000*(1-NORMSDIST(B3-1.5))</f>
        <v>3.3976731247387093</v>
      </c>
    </row>
    <row r="5" spans="1:6">
      <c r="A5" s="439" t="s">
        <v>407</v>
      </c>
      <c r="B5" s="441">
        <f>B4/1000000</f>
        <v>3.3976731247387093E-6</v>
      </c>
    </row>
    <row r="7" spans="1:6">
      <c r="A7" s="436" t="s">
        <v>408</v>
      </c>
    </row>
    <row r="8" spans="1:6" ht="39">
      <c r="A8" s="442" t="s">
        <v>409</v>
      </c>
    </row>
    <row r="9" spans="1:6">
      <c r="A9" s="437" t="s">
        <v>410</v>
      </c>
      <c r="B9" s="443">
        <v>3.4000000000000001E-6</v>
      </c>
      <c r="D9" s="444"/>
      <c r="E9" s="436"/>
      <c r="F9" s="436"/>
    </row>
    <row r="10" spans="1:6">
      <c r="A10" s="439" t="s">
        <v>406</v>
      </c>
      <c r="B10" s="445">
        <f>B9*1000000</f>
        <v>3.4</v>
      </c>
      <c r="D10" s="444"/>
    </row>
    <row r="11" spans="1:6">
      <c r="A11" s="439" t="s">
        <v>411</v>
      </c>
      <c r="B11" s="440">
        <f>-(NORMINV((B10/1000000),0,1)-1.5)</f>
        <v>5.9998544700250056</v>
      </c>
      <c r="D11" s="444"/>
      <c r="E11" s="436"/>
    </row>
    <row r="12" spans="1:6">
      <c r="D12" s="444"/>
      <c r="E12" s="444"/>
      <c r="F12" s="436"/>
    </row>
    <row r="13" spans="1:6">
      <c r="A13" s="436" t="s">
        <v>412</v>
      </c>
      <c r="D13" s="436"/>
      <c r="E13" s="436"/>
    </row>
    <row r="14" spans="1:6">
      <c r="A14" s="437" t="s">
        <v>413</v>
      </c>
      <c r="B14" s="446">
        <v>21900</v>
      </c>
    </row>
    <row r="15" spans="1:6">
      <c r="A15" s="439" t="s">
        <v>411</v>
      </c>
      <c r="B15" s="440">
        <f>-NORMSINV(DPMO/1000000)+1.5</f>
        <v>3.5159997684775059</v>
      </c>
    </row>
    <row r="17" spans="2:2">
      <c r="B17" s="4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
  <sheetViews>
    <sheetView workbookViewId="0">
      <selection activeCell="A12" sqref="A12"/>
    </sheetView>
  </sheetViews>
  <sheetFormatPr defaultRowHeight="15"/>
  <cols>
    <col min="1" max="1" width="79.5703125" bestFit="1" customWidth="1"/>
    <col min="3" max="3" width="12.5703125" customWidth="1"/>
    <col min="4" max="4" width="11.140625" bestFit="1" customWidth="1"/>
    <col min="5" max="5" width="12.5703125" customWidth="1"/>
    <col min="6" max="6" width="11.85546875" customWidth="1"/>
    <col min="257" max="257" width="79.5703125" bestFit="1" customWidth="1"/>
    <col min="259" max="259" width="12.5703125" customWidth="1"/>
    <col min="260" max="260" width="11.140625" bestFit="1" customWidth="1"/>
    <col min="261" max="261" width="12.5703125" customWidth="1"/>
    <col min="262" max="262" width="11.85546875" customWidth="1"/>
    <col min="513" max="513" width="79.5703125" bestFit="1" customWidth="1"/>
    <col min="515" max="515" width="12.5703125" customWidth="1"/>
    <col min="516" max="516" width="11.140625" bestFit="1" customWidth="1"/>
    <col min="517" max="517" width="12.5703125" customWidth="1"/>
    <col min="518" max="518" width="11.85546875" customWidth="1"/>
    <col min="769" max="769" width="79.5703125" bestFit="1" customWidth="1"/>
    <col min="771" max="771" width="12.5703125" customWidth="1"/>
    <col min="772" max="772" width="11.140625" bestFit="1" customWidth="1"/>
    <col min="773" max="773" width="12.5703125" customWidth="1"/>
    <col min="774" max="774" width="11.85546875" customWidth="1"/>
    <col min="1025" max="1025" width="79.5703125" bestFit="1" customWidth="1"/>
    <col min="1027" max="1027" width="12.5703125" customWidth="1"/>
    <col min="1028" max="1028" width="11.140625" bestFit="1" customWidth="1"/>
    <col min="1029" max="1029" width="12.5703125" customWidth="1"/>
    <col min="1030" max="1030" width="11.85546875" customWidth="1"/>
    <col min="1281" max="1281" width="79.5703125" bestFit="1" customWidth="1"/>
    <col min="1283" max="1283" width="12.5703125" customWidth="1"/>
    <col min="1284" max="1284" width="11.140625" bestFit="1" customWidth="1"/>
    <col min="1285" max="1285" width="12.5703125" customWidth="1"/>
    <col min="1286" max="1286" width="11.85546875" customWidth="1"/>
    <col min="1537" max="1537" width="79.5703125" bestFit="1" customWidth="1"/>
    <col min="1539" max="1539" width="12.5703125" customWidth="1"/>
    <col min="1540" max="1540" width="11.140625" bestFit="1" customWidth="1"/>
    <col min="1541" max="1541" width="12.5703125" customWidth="1"/>
    <col min="1542" max="1542" width="11.85546875" customWidth="1"/>
    <col min="1793" max="1793" width="79.5703125" bestFit="1" customWidth="1"/>
    <col min="1795" max="1795" width="12.5703125" customWidth="1"/>
    <col min="1796" max="1796" width="11.140625" bestFit="1" customWidth="1"/>
    <col min="1797" max="1797" width="12.5703125" customWidth="1"/>
    <col min="1798" max="1798" width="11.85546875" customWidth="1"/>
    <col min="2049" max="2049" width="79.5703125" bestFit="1" customWidth="1"/>
    <col min="2051" max="2051" width="12.5703125" customWidth="1"/>
    <col min="2052" max="2052" width="11.140625" bestFit="1" customWidth="1"/>
    <col min="2053" max="2053" width="12.5703125" customWidth="1"/>
    <col min="2054" max="2054" width="11.85546875" customWidth="1"/>
    <col min="2305" max="2305" width="79.5703125" bestFit="1" customWidth="1"/>
    <col min="2307" max="2307" width="12.5703125" customWidth="1"/>
    <col min="2308" max="2308" width="11.140625" bestFit="1" customWidth="1"/>
    <col min="2309" max="2309" width="12.5703125" customWidth="1"/>
    <col min="2310" max="2310" width="11.85546875" customWidth="1"/>
    <col min="2561" max="2561" width="79.5703125" bestFit="1" customWidth="1"/>
    <col min="2563" max="2563" width="12.5703125" customWidth="1"/>
    <col min="2564" max="2564" width="11.140625" bestFit="1" customWidth="1"/>
    <col min="2565" max="2565" width="12.5703125" customWidth="1"/>
    <col min="2566" max="2566" width="11.85546875" customWidth="1"/>
    <col min="2817" max="2817" width="79.5703125" bestFit="1" customWidth="1"/>
    <col min="2819" max="2819" width="12.5703125" customWidth="1"/>
    <col min="2820" max="2820" width="11.140625" bestFit="1" customWidth="1"/>
    <col min="2821" max="2821" width="12.5703125" customWidth="1"/>
    <col min="2822" max="2822" width="11.85546875" customWidth="1"/>
    <col min="3073" max="3073" width="79.5703125" bestFit="1" customWidth="1"/>
    <col min="3075" max="3075" width="12.5703125" customWidth="1"/>
    <col min="3076" max="3076" width="11.140625" bestFit="1" customWidth="1"/>
    <col min="3077" max="3077" width="12.5703125" customWidth="1"/>
    <col min="3078" max="3078" width="11.85546875" customWidth="1"/>
    <col min="3329" max="3329" width="79.5703125" bestFit="1" customWidth="1"/>
    <col min="3331" max="3331" width="12.5703125" customWidth="1"/>
    <col min="3332" max="3332" width="11.140625" bestFit="1" customWidth="1"/>
    <col min="3333" max="3333" width="12.5703125" customWidth="1"/>
    <col min="3334" max="3334" width="11.85546875" customWidth="1"/>
    <col min="3585" max="3585" width="79.5703125" bestFit="1" customWidth="1"/>
    <col min="3587" max="3587" width="12.5703125" customWidth="1"/>
    <col min="3588" max="3588" width="11.140625" bestFit="1" customWidth="1"/>
    <col min="3589" max="3589" width="12.5703125" customWidth="1"/>
    <col min="3590" max="3590" width="11.85546875" customWidth="1"/>
    <col min="3841" max="3841" width="79.5703125" bestFit="1" customWidth="1"/>
    <col min="3843" max="3843" width="12.5703125" customWidth="1"/>
    <col min="3844" max="3844" width="11.140625" bestFit="1" customWidth="1"/>
    <col min="3845" max="3845" width="12.5703125" customWidth="1"/>
    <col min="3846" max="3846" width="11.85546875" customWidth="1"/>
    <col min="4097" max="4097" width="79.5703125" bestFit="1" customWidth="1"/>
    <col min="4099" max="4099" width="12.5703125" customWidth="1"/>
    <col min="4100" max="4100" width="11.140625" bestFit="1" customWidth="1"/>
    <col min="4101" max="4101" width="12.5703125" customWidth="1"/>
    <col min="4102" max="4102" width="11.85546875" customWidth="1"/>
    <col min="4353" max="4353" width="79.5703125" bestFit="1" customWidth="1"/>
    <col min="4355" max="4355" width="12.5703125" customWidth="1"/>
    <col min="4356" max="4356" width="11.140625" bestFit="1" customWidth="1"/>
    <col min="4357" max="4357" width="12.5703125" customWidth="1"/>
    <col min="4358" max="4358" width="11.85546875" customWidth="1"/>
    <col min="4609" max="4609" width="79.5703125" bestFit="1" customWidth="1"/>
    <col min="4611" max="4611" width="12.5703125" customWidth="1"/>
    <col min="4612" max="4612" width="11.140625" bestFit="1" customWidth="1"/>
    <col min="4613" max="4613" width="12.5703125" customWidth="1"/>
    <col min="4614" max="4614" width="11.85546875" customWidth="1"/>
    <col min="4865" max="4865" width="79.5703125" bestFit="1" customWidth="1"/>
    <col min="4867" max="4867" width="12.5703125" customWidth="1"/>
    <col min="4868" max="4868" width="11.140625" bestFit="1" customWidth="1"/>
    <col min="4869" max="4869" width="12.5703125" customWidth="1"/>
    <col min="4870" max="4870" width="11.85546875" customWidth="1"/>
    <col min="5121" max="5121" width="79.5703125" bestFit="1" customWidth="1"/>
    <col min="5123" max="5123" width="12.5703125" customWidth="1"/>
    <col min="5124" max="5124" width="11.140625" bestFit="1" customWidth="1"/>
    <col min="5125" max="5125" width="12.5703125" customWidth="1"/>
    <col min="5126" max="5126" width="11.85546875" customWidth="1"/>
    <col min="5377" max="5377" width="79.5703125" bestFit="1" customWidth="1"/>
    <col min="5379" max="5379" width="12.5703125" customWidth="1"/>
    <col min="5380" max="5380" width="11.140625" bestFit="1" customWidth="1"/>
    <col min="5381" max="5381" width="12.5703125" customWidth="1"/>
    <col min="5382" max="5382" width="11.85546875" customWidth="1"/>
    <col min="5633" max="5633" width="79.5703125" bestFit="1" customWidth="1"/>
    <col min="5635" max="5635" width="12.5703125" customWidth="1"/>
    <col min="5636" max="5636" width="11.140625" bestFit="1" customWidth="1"/>
    <col min="5637" max="5637" width="12.5703125" customWidth="1"/>
    <col min="5638" max="5638" width="11.85546875" customWidth="1"/>
    <col min="5889" max="5889" width="79.5703125" bestFit="1" customWidth="1"/>
    <col min="5891" max="5891" width="12.5703125" customWidth="1"/>
    <col min="5892" max="5892" width="11.140625" bestFit="1" customWidth="1"/>
    <col min="5893" max="5893" width="12.5703125" customWidth="1"/>
    <col min="5894" max="5894" width="11.85546875" customWidth="1"/>
    <col min="6145" max="6145" width="79.5703125" bestFit="1" customWidth="1"/>
    <col min="6147" max="6147" width="12.5703125" customWidth="1"/>
    <col min="6148" max="6148" width="11.140625" bestFit="1" customWidth="1"/>
    <col min="6149" max="6149" width="12.5703125" customWidth="1"/>
    <col min="6150" max="6150" width="11.85546875" customWidth="1"/>
    <col min="6401" max="6401" width="79.5703125" bestFit="1" customWidth="1"/>
    <col min="6403" max="6403" width="12.5703125" customWidth="1"/>
    <col min="6404" max="6404" width="11.140625" bestFit="1" customWidth="1"/>
    <col min="6405" max="6405" width="12.5703125" customWidth="1"/>
    <col min="6406" max="6406" width="11.85546875" customWidth="1"/>
    <col min="6657" max="6657" width="79.5703125" bestFit="1" customWidth="1"/>
    <col min="6659" max="6659" width="12.5703125" customWidth="1"/>
    <col min="6660" max="6660" width="11.140625" bestFit="1" customWidth="1"/>
    <col min="6661" max="6661" width="12.5703125" customWidth="1"/>
    <col min="6662" max="6662" width="11.85546875" customWidth="1"/>
    <col min="6913" max="6913" width="79.5703125" bestFit="1" customWidth="1"/>
    <col min="6915" max="6915" width="12.5703125" customWidth="1"/>
    <col min="6916" max="6916" width="11.140625" bestFit="1" customWidth="1"/>
    <col min="6917" max="6917" width="12.5703125" customWidth="1"/>
    <col min="6918" max="6918" width="11.85546875" customWidth="1"/>
    <col min="7169" max="7169" width="79.5703125" bestFit="1" customWidth="1"/>
    <col min="7171" max="7171" width="12.5703125" customWidth="1"/>
    <col min="7172" max="7172" width="11.140625" bestFit="1" customWidth="1"/>
    <col min="7173" max="7173" width="12.5703125" customWidth="1"/>
    <col min="7174" max="7174" width="11.85546875" customWidth="1"/>
    <col min="7425" max="7425" width="79.5703125" bestFit="1" customWidth="1"/>
    <col min="7427" max="7427" width="12.5703125" customWidth="1"/>
    <col min="7428" max="7428" width="11.140625" bestFit="1" customWidth="1"/>
    <col min="7429" max="7429" width="12.5703125" customWidth="1"/>
    <col min="7430" max="7430" width="11.85546875" customWidth="1"/>
    <col min="7681" max="7681" width="79.5703125" bestFit="1" customWidth="1"/>
    <col min="7683" max="7683" width="12.5703125" customWidth="1"/>
    <col min="7684" max="7684" width="11.140625" bestFit="1" customWidth="1"/>
    <col min="7685" max="7685" width="12.5703125" customWidth="1"/>
    <col min="7686" max="7686" width="11.85546875" customWidth="1"/>
    <col min="7937" max="7937" width="79.5703125" bestFit="1" customWidth="1"/>
    <col min="7939" max="7939" width="12.5703125" customWidth="1"/>
    <col min="7940" max="7940" width="11.140625" bestFit="1" customWidth="1"/>
    <col min="7941" max="7941" width="12.5703125" customWidth="1"/>
    <col min="7942" max="7942" width="11.85546875" customWidth="1"/>
    <col min="8193" max="8193" width="79.5703125" bestFit="1" customWidth="1"/>
    <col min="8195" max="8195" width="12.5703125" customWidth="1"/>
    <col min="8196" max="8196" width="11.140625" bestFit="1" customWidth="1"/>
    <col min="8197" max="8197" width="12.5703125" customWidth="1"/>
    <col min="8198" max="8198" width="11.85546875" customWidth="1"/>
    <col min="8449" max="8449" width="79.5703125" bestFit="1" customWidth="1"/>
    <col min="8451" max="8451" width="12.5703125" customWidth="1"/>
    <col min="8452" max="8452" width="11.140625" bestFit="1" customWidth="1"/>
    <col min="8453" max="8453" width="12.5703125" customWidth="1"/>
    <col min="8454" max="8454" width="11.85546875" customWidth="1"/>
    <col min="8705" max="8705" width="79.5703125" bestFit="1" customWidth="1"/>
    <col min="8707" max="8707" width="12.5703125" customWidth="1"/>
    <col min="8708" max="8708" width="11.140625" bestFit="1" customWidth="1"/>
    <col min="8709" max="8709" width="12.5703125" customWidth="1"/>
    <col min="8710" max="8710" width="11.85546875" customWidth="1"/>
    <col min="8961" max="8961" width="79.5703125" bestFit="1" customWidth="1"/>
    <col min="8963" max="8963" width="12.5703125" customWidth="1"/>
    <col min="8964" max="8964" width="11.140625" bestFit="1" customWidth="1"/>
    <col min="8965" max="8965" width="12.5703125" customWidth="1"/>
    <col min="8966" max="8966" width="11.85546875" customWidth="1"/>
    <col min="9217" max="9217" width="79.5703125" bestFit="1" customWidth="1"/>
    <col min="9219" max="9219" width="12.5703125" customWidth="1"/>
    <col min="9220" max="9220" width="11.140625" bestFit="1" customWidth="1"/>
    <col min="9221" max="9221" width="12.5703125" customWidth="1"/>
    <col min="9222" max="9222" width="11.85546875" customWidth="1"/>
    <col min="9473" max="9473" width="79.5703125" bestFit="1" customWidth="1"/>
    <col min="9475" max="9475" width="12.5703125" customWidth="1"/>
    <col min="9476" max="9476" width="11.140625" bestFit="1" customWidth="1"/>
    <col min="9477" max="9477" width="12.5703125" customWidth="1"/>
    <col min="9478" max="9478" width="11.85546875" customWidth="1"/>
    <col min="9729" max="9729" width="79.5703125" bestFit="1" customWidth="1"/>
    <col min="9731" max="9731" width="12.5703125" customWidth="1"/>
    <col min="9732" max="9732" width="11.140625" bestFit="1" customWidth="1"/>
    <col min="9733" max="9733" width="12.5703125" customWidth="1"/>
    <col min="9734" max="9734" width="11.85546875" customWidth="1"/>
    <col min="9985" max="9985" width="79.5703125" bestFit="1" customWidth="1"/>
    <col min="9987" max="9987" width="12.5703125" customWidth="1"/>
    <col min="9988" max="9988" width="11.140625" bestFit="1" customWidth="1"/>
    <col min="9989" max="9989" width="12.5703125" customWidth="1"/>
    <col min="9990" max="9990" width="11.85546875" customWidth="1"/>
    <col min="10241" max="10241" width="79.5703125" bestFit="1" customWidth="1"/>
    <col min="10243" max="10243" width="12.5703125" customWidth="1"/>
    <col min="10244" max="10244" width="11.140625" bestFit="1" customWidth="1"/>
    <col min="10245" max="10245" width="12.5703125" customWidth="1"/>
    <col min="10246" max="10246" width="11.85546875" customWidth="1"/>
    <col min="10497" max="10497" width="79.5703125" bestFit="1" customWidth="1"/>
    <col min="10499" max="10499" width="12.5703125" customWidth="1"/>
    <col min="10500" max="10500" width="11.140625" bestFit="1" customWidth="1"/>
    <col min="10501" max="10501" width="12.5703125" customWidth="1"/>
    <col min="10502" max="10502" width="11.85546875" customWidth="1"/>
    <col min="10753" max="10753" width="79.5703125" bestFit="1" customWidth="1"/>
    <col min="10755" max="10755" width="12.5703125" customWidth="1"/>
    <col min="10756" max="10756" width="11.140625" bestFit="1" customWidth="1"/>
    <col min="10757" max="10757" width="12.5703125" customWidth="1"/>
    <col min="10758" max="10758" width="11.85546875" customWidth="1"/>
    <col min="11009" max="11009" width="79.5703125" bestFit="1" customWidth="1"/>
    <col min="11011" max="11011" width="12.5703125" customWidth="1"/>
    <col min="11012" max="11012" width="11.140625" bestFit="1" customWidth="1"/>
    <col min="11013" max="11013" width="12.5703125" customWidth="1"/>
    <col min="11014" max="11014" width="11.85546875" customWidth="1"/>
    <col min="11265" max="11265" width="79.5703125" bestFit="1" customWidth="1"/>
    <col min="11267" max="11267" width="12.5703125" customWidth="1"/>
    <col min="11268" max="11268" width="11.140625" bestFit="1" customWidth="1"/>
    <col min="11269" max="11269" width="12.5703125" customWidth="1"/>
    <col min="11270" max="11270" width="11.85546875" customWidth="1"/>
    <col min="11521" max="11521" width="79.5703125" bestFit="1" customWidth="1"/>
    <col min="11523" max="11523" width="12.5703125" customWidth="1"/>
    <col min="11524" max="11524" width="11.140625" bestFit="1" customWidth="1"/>
    <col min="11525" max="11525" width="12.5703125" customWidth="1"/>
    <col min="11526" max="11526" width="11.85546875" customWidth="1"/>
    <col min="11777" max="11777" width="79.5703125" bestFit="1" customWidth="1"/>
    <col min="11779" max="11779" width="12.5703125" customWidth="1"/>
    <col min="11780" max="11780" width="11.140625" bestFit="1" customWidth="1"/>
    <col min="11781" max="11781" width="12.5703125" customWidth="1"/>
    <col min="11782" max="11782" width="11.85546875" customWidth="1"/>
    <col min="12033" max="12033" width="79.5703125" bestFit="1" customWidth="1"/>
    <col min="12035" max="12035" width="12.5703125" customWidth="1"/>
    <col min="12036" max="12036" width="11.140625" bestFit="1" customWidth="1"/>
    <col min="12037" max="12037" width="12.5703125" customWidth="1"/>
    <col min="12038" max="12038" width="11.85546875" customWidth="1"/>
    <col min="12289" max="12289" width="79.5703125" bestFit="1" customWidth="1"/>
    <col min="12291" max="12291" width="12.5703125" customWidth="1"/>
    <col min="12292" max="12292" width="11.140625" bestFit="1" customWidth="1"/>
    <col min="12293" max="12293" width="12.5703125" customWidth="1"/>
    <col min="12294" max="12294" width="11.85546875" customWidth="1"/>
    <col min="12545" max="12545" width="79.5703125" bestFit="1" customWidth="1"/>
    <col min="12547" max="12547" width="12.5703125" customWidth="1"/>
    <col min="12548" max="12548" width="11.140625" bestFit="1" customWidth="1"/>
    <col min="12549" max="12549" width="12.5703125" customWidth="1"/>
    <col min="12550" max="12550" width="11.85546875" customWidth="1"/>
    <col min="12801" max="12801" width="79.5703125" bestFit="1" customWidth="1"/>
    <col min="12803" max="12803" width="12.5703125" customWidth="1"/>
    <col min="12804" max="12804" width="11.140625" bestFit="1" customWidth="1"/>
    <col min="12805" max="12805" width="12.5703125" customWidth="1"/>
    <col min="12806" max="12806" width="11.85546875" customWidth="1"/>
    <col min="13057" max="13057" width="79.5703125" bestFit="1" customWidth="1"/>
    <col min="13059" max="13059" width="12.5703125" customWidth="1"/>
    <col min="13060" max="13060" width="11.140625" bestFit="1" customWidth="1"/>
    <col min="13061" max="13061" width="12.5703125" customWidth="1"/>
    <col min="13062" max="13062" width="11.85546875" customWidth="1"/>
    <col min="13313" max="13313" width="79.5703125" bestFit="1" customWidth="1"/>
    <col min="13315" max="13315" width="12.5703125" customWidth="1"/>
    <col min="13316" max="13316" width="11.140625" bestFit="1" customWidth="1"/>
    <col min="13317" max="13317" width="12.5703125" customWidth="1"/>
    <col min="13318" max="13318" width="11.85546875" customWidth="1"/>
    <col min="13569" max="13569" width="79.5703125" bestFit="1" customWidth="1"/>
    <col min="13571" max="13571" width="12.5703125" customWidth="1"/>
    <col min="13572" max="13572" width="11.140625" bestFit="1" customWidth="1"/>
    <col min="13573" max="13573" width="12.5703125" customWidth="1"/>
    <col min="13574" max="13574" width="11.85546875" customWidth="1"/>
    <col min="13825" max="13825" width="79.5703125" bestFit="1" customWidth="1"/>
    <col min="13827" max="13827" width="12.5703125" customWidth="1"/>
    <col min="13828" max="13828" width="11.140625" bestFit="1" customWidth="1"/>
    <col min="13829" max="13829" width="12.5703125" customWidth="1"/>
    <col min="13830" max="13830" width="11.85546875" customWidth="1"/>
    <col min="14081" max="14081" width="79.5703125" bestFit="1" customWidth="1"/>
    <col min="14083" max="14083" width="12.5703125" customWidth="1"/>
    <col min="14084" max="14084" width="11.140625" bestFit="1" customWidth="1"/>
    <col min="14085" max="14085" width="12.5703125" customWidth="1"/>
    <col min="14086" max="14086" width="11.85546875" customWidth="1"/>
    <col min="14337" max="14337" width="79.5703125" bestFit="1" customWidth="1"/>
    <col min="14339" max="14339" width="12.5703125" customWidth="1"/>
    <col min="14340" max="14340" width="11.140625" bestFit="1" customWidth="1"/>
    <col min="14341" max="14341" width="12.5703125" customWidth="1"/>
    <col min="14342" max="14342" width="11.85546875" customWidth="1"/>
    <col min="14593" max="14593" width="79.5703125" bestFit="1" customWidth="1"/>
    <col min="14595" max="14595" width="12.5703125" customWidth="1"/>
    <col min="14596" max="14596" width="11.140625" bestFit="1" customWidth="1"/>
    <col min="14597" max="14597" width="12.5703125" customWidth="1"/>
    <col min="14598" max="14598" width="11.85546875" customWidth="1"/>
    <col min="14849" max="14849" width="79.5703125" bestFit="1" customWidth="1"/>
    <col min="14851" max="14851" width="12.5703125" customWidth="1"/>
    <col min="14852" max="14852" width="11.140625" bestFit="1" customWidth="1"/>
    <col min="14853" max="14853" width="12.5703125" customWidth="1"/>
    <col min="14854" max="14854" width="11.85546875" customWidth="1"/>
    <col min="15105" max="15105" width="79.5703125" bestFit="1" customWidth="1"/>
    <col min="15107" max="15107" width="12.5703125" customWidth="1"/>
    <col min="15108" max="15108" width="11.140625" bestFit="1" customWidth="1"/>
    <col min="15109" max="15109" width="12.5703125" customWidth="1"/>
    <col min="15110" max="15110" width="11.85546875" customWidth="1"/>
    <col min="15361" max="15361" width="79.5703125" bestFit="1" customWidth="1"/>
    <col min="15363" max="15363" width="12.5703125" customWidth="1"/>
    <col min="15364" max="15364" width="11.140625" bestFit="1" customWidth="1"/>
    <col min="15365" max="15365" width="12.5703125" customWidth="1"/>
    <col min="15366" max="15366" width="11.85546875" customWidth="1"/>
    <col min="15617" max="15617" width="79.5703125" bestFit="1" customWidth="1"/>
    <col min="15619" max="15619" width="12.5703125" customWidth="1"/>
    <col min="15620" max="15620" width="11.140625" bestFit="1" customWidth="1"/>
    <col min="15621" max="15621" width="12.5703125" customWidth="1"/>
    <col min="15622" max="15622" width="11.85546875" customWidth="1"/>
    <col min="15873" max="15873" width="79.5703125" bestFit="1" customWidth="1"/>
    <col min="15875" max="15875" width="12.5703125" customWidth="1"/>
    <col min="15876" max="15876" width="11.140625" bestFit="1" customWidth="1"/>
    <col min="15877" max="15877" width="12.5703125" customWidth="1"/>
    <col min="15878" max="15878" width="11.85546875" customWidth="1"/>
    <col min="16129" max="16129" width="79.5703125" bestFit="1" customWidth="1"/>
    <col min="16131" max="16131" width="12.5703125" customWidth="1"/>
    <col min="16132" max="16132" width="11.140625" bestFit="1" customWidth="1"/>
    <col min="16133" max="16133" width="12.5703125" customWidth="1"/>
    <col min="16134" max="16134" width="11.85546875" customWidth="1"/>
  </cols>
  <sheetData>
    <row r="1" spans="1:7" ht="20.25">
      <c r="A1" s="645" t="s">
        <v>92</v>
      </c>
      <c r="B1" s="646"/>
      <c r="C1" s="646"/>
      <c r="D1" s="646"/>
      <c r="E1" s="646"/>
      <c r="F1" s="646"/>
      <c r="G1" s="646"/>
    </row>
    <row r="2" spans="1:7">
      <c r="A2" s="647" t="s">
        <v>93</v>
      </c>
      <c r="B2" s="648"/>
      <c r="C2" s="648"/>
      <c r="D2" s="648"/>
      <c r="E2" s="648"/>
      <c r="F2" s="648"/>
      <c r="G2" s="648"/>
    </row>
    <row r="3" spans="1:7">
      <c r="B3" s="37"/>
      <c r="C3" s="38" t="s">
        <v>94</v>
      </c>
      <c r="D3" s="649"/>
      <c r="E3" s="650"/>
      <c r="F3" s="650"/>
      <c r="G3" s="651"/>
    </row>
    <row r="4" spans="1:7" ht="34.5">
      <c r="A4" s="37" t="s">
        <v>95</v>
      </c>
      <c r="B4" s="39" t="s">
        <v>96</v>
      </c>
      <c r="C4" s="39" t="s">
        <v>97</v>
      </c>
      <c r="D4" s="39" t="s">
        <v>98</v>
      </c>
      <c r="E4" s="39" t="s">
        <v>99</v>
      </c>
      <c r="F4" s="39" t="s">
        <v>100</v>
      </c>
      <c r="G4" s="40" t="s">
        <v>101</v>
      </c>
    </row>
    <row r="5" spans="1:7">
      <c r="A5" s="41"/>
      <c r="B5" s="42">
        <v>5</v>
      </c>
      <c r="C5" s="42">
        <v>4</v>
      </c>
      <c r="D5" s="42">
        <v>3</v>
      </c>
      <c r="E5" s="42">
        <v>2</v>
      </c>
      <c r="F5" s="42">
        <v>1</v>
      </c>
      <c r="G5" s="22"/>
    </row>
    <row r="6" spans="1:7">
      <c r="A6" s="43" t="s">
        <v>102</v>
      </c>
      <c r="B6" s="44"/>
      <c r="C6" s="44"/>
      <c r="D6" s="44"/>
      <c r="E6" s="44"/>
      <c r="F6" s="44"/>
      <c r="G6" s="45"/>
    </row>
    <row r="7" spans="1:7">
      <c r="A7" s="43" t="s">
        <v>103</v>
      </c>
      <c r="B7" s="44"/>
      <c r="C7" s="44"/>
      <c r="D7" s="44"/>
      <c r="E7" s="44"/>
      <c r="F7" s="44"/>
      <c r="G7" s="45"/>
    </row>
    <row r="8" spans="1:7">
      <c r="A8" s="43" t="s">
        <v>104</v>
      </c>
      <c r="B8" s="44"/>
      <c r="C8" s="44"/>
      <c r="D8" s="44"/>
      <c r="E8" s="44"/>
      <c r="F8" s="44"/>
      <c r="G8" s="45"/>
    </row>
    <row r="9" spans="1:7">
      <c r="A9" s="43" t="s">
        <v>105</v>
      </c>
      <c r="B9" s="44"/>
      <c r="C9" s="44"/>
      <c r="D9" s="44"/>
      <c r="E9" s="44"/>
      <c r="F9" s="44"/>
      <c r="G9" s="45"/>
    </row>
    <row r="10" spans="1:7" ht="26.25">
      <c r="A10" s="46" t="s">
        <v>106</v>
      </c>
      <c r="B10" s="44"/>
      <c r="C10" s="44"/>
      <c r="D10" s="44"/>
      <c r="E10" s="44"/>
      <c r="F10" s="44"/>
      <c r="G10" s="45"/>
    </row>
    <row r="11" spans="1:7">
      <c r="A11" s="47"/>
      <c r="B11" s="48"/>
      <c r="C11" s="48"/>
      <c r="D11" s="48"/>
      <c r="E11" s="49"/>
      <c r="F11" s="50" t="s">
        <v>107</v>
      </c>
      <c r="G11" s="22">
        <f>SUM(G6:G10)</f>
        <v>0</v>
      </c>
    </row>
    <row r="12" spans="1:7">
      <c r="B12" s="51"/>
      <c r="C12" s="51"/>
      <c r="D12" s="51"/>
      <c r="E12" s="51"/>
      <c r="F12" s="51"/>
      <c r="G12" s="15"/>
    </row>
    <row r="13" spans="1:7" ht="34.5">
      <c r="A13" s="37" t="s">
        <v>108</v>
      </c>
      <c r="B13" s="39" t="s">
        <v>96</v>
      </c>
      <c r="C13" s="39" t="s">
        <v>97</v>
      </c>
      <c r="D13" s="39" t="s">
        <v>98</v>
      </c>
      <c r="E13" s="39" t="s">
        <v>99</v>
      </c>
      <c r="F13" s="39" t="s">
        <v>100</v>
      </c>
      <c r="G13" s="40" t="s">
        <v>101</v>
      </c>
    </row>
    <row r="14" spans="1:7">
      <c r="A14" s="41"/>
      <c r="B14" s="42">
        <v>5</v>
      </c>
      <c r="C14" s="42">
        <v>4</v>
      </c>
      <c r="D14" s="42">
        <v>3</v>
      </c>
      <c r="E14" s="42">
        <v>2</v>
      </c>
      <c r="F14" s="42">
        <v>1</v>
      </c>
      <c r="G14" s="22"/>
    </row>
    <row r="15" spans="1:7" ht="26.25">
      <c r="A15" s="46" t="s">
        <v>109</v>
      </c>
      <c r="B15" s="22"/>
      <c r="C15" s="22"/>
      <c r="D15" s="22"/>
      <c r="E15" s="22"/>
      <c r="F15" s="22"/>
      <c r="G15" s="52"/>
    </row>
    <row r="16" spans="1:7" ht="26.25">
      <c r="A16" s="46" t="s">
        <v>110</v>
      </c>
      <c r="B16" s="22"/>
      <c r="C16" s="22"/>
      <c r="D16" s="22"/>
      <c r="E16" s="22"/>
      <c r="F16" s="22"/>
      <c r="G16" s="52"/>
    </row>
    <row r="17" spans="1:7" ht="26.25">
      <c r="A17" s="46" t="s">
        <v>111</v>
      </c>
      <c r="B17" s="22"/>
      <c r="C17" s="22"/>
      <c r="D17" s="22"/>
      <c r="E17" s="22"/>
      <c r="F17" s="22"/>
      <c r="G17" s="52"/>
    </row>
    <row r="18" spans="1:7" ht="26.25">
      <c r="A18" s="46" t="s">
        <v>112</v>
      </c>
      <c r="B18" s="22"/>
      <c r="C18" s="22"/>
      <c r="D18" s="22"/>
      <c r="E18" s="22"/>
      <c r="F18" s="22"/>
      <c r="G18" s="52"/>
    </row>
    <row r="19" spans="1:7" ht="26.25">
      <c r="A19" s="46" t="s">
        <v>113</v>
      </c>
      <c r="B19" s="22"/>
      <c r="C19" s="22"/>
      <c r="D19" s="22"/>
      <c r="E19" s="22"/>
      <c r="F19" s="22"/>
      <c r="G19" s="52"/>
    </row>
    <row r="20" spans="1:7">
      <c r="A20" s="53"/>
      <c r="B20" s="15"/>
      <c r="C20" s="15"/>
      <c r="D20" s="15"/>
      <c r="E20" s="15"/>
      <c r="F20" s="54" t="s">
        <v>114</v>
      </c>
      <c r="G20" s="22">
        <f>SUM(G15:G19)</f>
        <v>0</v>
      </c>
    </row>
    <row r="21" spans="1:7">
      <c r="B21" s="15"/>
      <c r="C21" s="15"/>
      <c r="D21" s="15"/>
      <c r="E21" s="15"/>
      <c r="F21" s="15"/>
      <c r="G21" s="15"/>
    </row>
    <row r="22" spans="1:7" ht="34.5">
      <c r="A22" s="37" t="s">
        <v>115</v>
      </c>
      <c r="B22" s="39" t="s">
        <v>96</v>
      </c>
      <c r="C22" s="39" t="s">
        <v>97</v>
      </c>
      <c r="D22" s="39" t="s">
        <v>98</v>
      </c>
      <c r="E22" s="39" t="s">
        <v>99</v>
      </c>
      <c r="F22" s="39" t="s">
        <v>100</v>
      </c>
      <c r="G22" s="40" t="s">
        <v>101</v>
      </c>
    </row>
    <row r="23" spans="1:7">
      <c r="A23" s="41"/>
      <c r="B23" s="42">
        <v>5</v>
      </c>
      <c r="C23" s="42">
        <v>4</v>
      </c>
      <c r="D23" s="42">
        <v>3</v>
      </c>
      <c r="E23" s="42">
        <v>2</v>
      </c>
      <c r="F23" s="42">
        <v>1</v>
      </c>
      <c r="G23" s="22"/>
    </row>
    <row r="24" spans="1:7" ht="26.25">
      <c r="A24" s="46" t="s">
        <v>116</v>
      </c>
      <c r="B24" s="22"/>
      <c r="C24" s="22"/>
      <c r="D24" s="22"/>
      <c r="E24" s="22"/>
      <c r="F24" s="22"/>
      <c r="G24" s="52"/>
    </row>
    <row r="25" spans="1:7" ht="26.25">
      <c r="A25" s="46" t="s">
        <v>117</v>
      </c>
      <c r="B25" s="22"/>
      <c r="C25" s="22"/>
      <c r="D25" s="22"/>
      <c r="E25" s="22"/>
      <c r="F25" s="22"/>
      <c r="G25" s="52"/>
    </row>
    <row r="26" spans="1:7">
      <c r="A26" s="46" t="s">
        <v>118</v>
      </c>
      <c r="B26" s="22"/>
      <c r="C26" s="22"/>
      <c r="D26" s="22"/>
      <c r="E26" s="22"/>
      <c r="F26" s="22"/>
      <c r="G26" s="52"/>
    </row>
    <row r="27" spans="1:7" ht="26.25">
      <c r="A27" s="46" t="s">
        <v>119</v>
      </c>
      <c r="B27" s="22"/>
      <c r="C27" s="22"/>
      <c r="D27" s="22"/>
      <c r="E27" s="22"/>
      <c r="F27" s="22"/>
      <c r="G27" s="52"/>
    </row>
    <row r="28" spans="1:7" ht="26.25">
      <c r="A28" s="46" t="s">
        <v>120</v>
      </c>
      <c r="B28" s="22"/>
      <c r="C28" s="22"/>
      <c r="D28" s="22"/>
      <c r="E28" s="22"/>
      <c r="F28" s="22"/>
      <c r="G28" s="52"/>
    </row>
    <row r="29" spans="1:7">
      <c r="A29" s="55"/>
      <c r="B29" s="15"/>
      <c r="C29" s="15"/>
      <c r="D29" s="15"/>
      <c r="E29" s="15"/>
      <c r="F29" s="54" t="s">
        <v>121</v>
      </c>
      <c r="G29" s="22">
        <f>SUM(G24:G28)</f>
        <v>0</v>
      </c>
    </row>
    <row r="30" spans="1:7">
      <c r="A30" s="55"/>
      <c r="B30" s="15"/>
      <c r="C30" s="15"/>
      <c r="D30" s="15"/>
      <c r="E30" s="15"/>
      <c r="F30" s="15"/>
      <c r="G30" s="15"/>
    </row>
    <row r="31" spans="1:7" ht="34.5">
      <c r="A31" s="37" t="s">
        <v>122</v>
      </c>
      <c r="B31" s="39" t="s">
        <v>96</v>
      </c>
      <c r="C31" s="39" t="s">
        <v>97</v>
      </c>
      <c r="D31" s="39" t="s">
        <v>98</v>
      </c>
      <c r="E31" s="39" t="s">
        <v>99</v>
      </c>
      <c r="F31" s="39" t="s">
        <v>100</v>
      </c>
      <c r="G31" s="40" t="s">
        <v>101</v>
      </c>
    </row>
    <row r="32" spans="1:7">
      <c r="A32" s="56"/>
      <c r="B32" s="42">
        <v>5</v>
      </c>
      <c r="C32" s="42">
        <v>4</v>
      </c>
      <c r="D32" s="42">
        <v>3</v>
      </c>
      <c r="E32" s="42">
        <v>2</v>
      </c>
      <c r="F32" s="42">
        <v>1</v>
      </c>
      <c r="G32" s="22"/>
    </row>
    <row r="33" spans="1:7" ht="26.25">
      <c r="A33" s="46" t="s">
        <v>123</v>
      </c>
      <c r="B33" s="22"/>
      <c r="C33" s="22"/>
      <c r="D33" s="22"/>
      <c r="E33" s="22"/>
      <c r="F33" s="22"/>
      <c r="G33" s="52"/>
    </row>
    <row r="34" spans="1:7" ht="26.25">
      <c r="A34" s="46" t="s">
        <v>124</v>
      </c>
      <c r="B34" s="22"/>
      <c r="C34" s="22"/>
      <c r="D34" s="22"/>
      <c r="E34" s="22"/>
      <c r="F34" s="22"/>
      <c r="G34" s="52"/>
    </row>
    <row r="35" spans="1:7">
      <c r="A35" s="46" t="s">
        <v>125</v>
      </c>
      <c r="B35" s="22"/>
      <c r="C35" s="22"/>
      <c r="D35" s="22"/>
      <c r="E35" s="22"/>
      <c r="F35" s="22"/>
      <c r="G35" s="52"/>
    </row>
    <row r="36" spans="1:7" ht="26.25">
      <c r="A36" s="46" t="s">
        <v>126</v>
      </c>
      <c r="B36" s="22"/>
      <c r="C36" s="22"/>
      <c r="D36" s="22"/>
      <c r="E36" s="22"/>
      <c r="F36" s="22"/>
      <c r="G36" s="52"/>
    </row>
    <row r="37" spans="1:7" ht="26.25">
      <c r="A37" s="46" t="s">
        <v>127</v>
      </c>
      <c r="B37" s="22"/>
      <c r="C37" s="22"/>
      <c r="D37" s="22"/>
      <c r="E37" s="22"/>
      <c r="F37" s="22"/>
      <c r="G37" s="52"/>
    </row>
    <row r="38" spans="1:7">
      <c r="A38" s="55"/>
      <c r="B38" s="15"/>
      <c r="C38" s="15"/>
      <c r="D38" s="15"/>
      <c r="E38" s="15"/>
      <c r="F38" s="54" t="s">
        <v>128</v>
      </c>
      <c r="G38" s="22">
        <f>SUM(G33:G37)</f>
        <v>0</v>
      </c>
    </row>
    <row r="39" spans="1:7">
      <c r="B39" s="15"/>
      <c r="C39" s="15"/>
      <c r="D39" s="15"/>
      <c r="E39" s="15"/>
      <c r="F39" s="15"/>
      <c r="G39" s="15"/>
    </row>
    <row r="40" spans="1:7" ht="34.5">
      <c r="A40" s="37" t="s">
        <v>129</v>
      </c>
      <c r="B40" s="39" t="s">
        <v>96</v>
      </c>
      <c r="C40" s="39" t="s">
        <v>97</v>
      </c>
      <c r="D40" s="39" t="s">
        <v>98</v>
      </c>
      <c r="E40" s="39" t="s">
        <v>99</v>
      </c>
      <c r="F40" s="39" t="s">
        <v>100</v>
      </c>
      <c r="G40" s="40" t="s">
        <v>101</v>
      </c>
    </row>
    <row r="41" spans="1:7">
      <c r="A41" s="41"/>
      <c r="B41" s="42">
        <v>5</v>
      </c>
      <c r="C41" s="42">
        <v>4</v>
      </c>
      <c r="D41" s="42">
        <v>3</v>
      </c>
      <c r="E41" s="42">
        <v>2</v>
      </c>
      <c r="F41" s="42">
        <v>1</v>
      </c>
      <c r="G41" s="22"/>
    </row>
    <row r="42" spans="1:7" ht="26.25">
      <c r="A42" s="46" t="s">
        <v>130</v>
      </c>
      <c r="B42" s="22"/>
      <c r="C42" s="22"/>
      <c r="D42" s="22"/>
      <c r="E42" s="22"/>
      <c r="F42" s="22"/>
      <c r="G42" s="52"/>
    </row>
    <row r="43" spans="1:7" ht="26.25">
      <c r="A43" s="46" t="s">
        <v>131</v>
      </c>
      <c r="B43" s="22"/>
      <c r="C43" s="22"/>
      <c r="D43" s="22"/>
      <c r="E43" s="22"/>
      <c r="F43" s="22"/>
      <c r="G43" s="52"/>
    </row>
    <row r="44" spans="1:7" ht="26.25">
      <c r="A44" s="46" t="s">
        <v>132</v>
      </c>
      <c r="B44" s="22"/>
      <c r="C44" s="22"/>
      <c r="D44" s="22"/>
      <c r="E44" s="22"/>
      <c r="F44" s="22"/>
      <c r="G44" s="52"/>
    </row>
    <row r="45" spans="1:7" ht="26.25">
      <c r="A45" s="46" t="s">
        <v>133</v>
      </c>
      <c r="B45" s="22"/>
      <c r="C45" s="22"/>
      <c r="D45" s="22"/>
      <c r="E45" s="22"/>
      <c r="F45" s="22"/>
      <c r="G45" s="52"/>
    </row>
    <row r="46" spans="1:7" ht="26.25">
      <c r="A46" s="46" t="s">
        <v>134</v>
      </c>
      <c r="B46" s="22"/>
      <c r="C46" s="22"/>
      <c r="D46" s="22"/>
      <c r="E46" s="22"/>
      <c r="F46" s="22"/>
      <c r="G46" s="52"/>
    </row>
    <row r="47" spans="1:7">
      <c r="A47" s="47"/>
      <c r="B47" s="15"/>
      <c r="C47" s="15"/>
      <c r="D47" s="15"/>
      <c r="E47" s="15"/>
      <c r="F47" s="54" t="s">
        <v>135</v>
      </c>
      <c r="G47" s="22">
        <f>SUM(G42:G46)</f>
        <v>0</v>
      </c>
    </row>
    <row r="48" spans="1:7">
      <c r="B48" s="15"/>
      <c r="C48" s="15"/>
      <c r="D48" s="15"/>
      <c r="E48" s="15"/>
      <c r="F48" s="15"/>
      <c r="G48" s="15"/>
    </row>
    <row r="49" spans="2:7">
      <c r="B49" s="15"/>
      <c r="C49" s="15"/>
      <c r="D49" s="15"/>
      <c r="E49" s="15"/>
      <c r="F49" s="54"/>
      <c r="G49" s="15"/>
    </row>
    <row r="50" spans="2:7">
      <c r="B50" s="15"/>
      <c r="C50" s="15"/>
      <c r="D50" s="15"/>
      <c r="E50" s="15"/>
      <c r="F50" s="15"/>
      <c r="G50" s="15"/>
    </row>
    <row r="51" spans="2:7">
      <c r="B51" s="15"/>
      <c r="C51" s="15"/>
      <c r="D51" s="15"/>
      <c r="E51" s="15"/>
      <c r="F51" s="15"/>
      <c r="G51" s="15"/>
    </row>
    <row r="52" spans="2:7">
      <c r="B52" s="15"/>
      <c r="C52" s="15"/>
      <c r="D52" s="15"/>
      <c r="E52" s="15"/>
      <c r="F52" s="15"/>
      <c r="G52" s="15"/>
    </row>
    <row r="53" spans="2:7">
      <c r="B53" s="15"/>
      <c r="C53" s="15"/>
      <c r="D53" s="15"/>
      <c r="E53" s="15"/>
      <c r="F53" s="15"/>
      <c r="G53" s="15"/>
    </row>
    <row r="54" spans="2:7">
      <c r="B54" s="15"/>
      <c r="C54" s="15"/>
      <c r="D54" s="15"/>
      <c r="E54" s="15"/>
      <c r="F54" s="15"/>
      <c r="G54" s="15"/>
    </row>
    <row r="55" spans="2:7">
      <c r="B55" s="15"/>
      <c r="C55" s="15"/>
      <c r="D55" s="15"/>
      <c r="E55" s="15"/>
      <c r="F55" s="15"/>
      <c r="G55" s="15"/>
    </row>
    <row r="56" spans="2:7">
      <c r="B56" s="15"/>
      <c r="C56" s="15"/>
      <c r="D56" s="15"/>
      <c r="E56" s="15"/>
      <c r="F56" s="15"/>
      <c r="G56" s="15"/>
    </row>
    <row r="57" spans="2:7">
      <c r="B57" s="15"/>
      <c r="C57" s="15"/>
      <c r="D57" s="15"/>
      <c r="E57" s="15"/>
      <c r="F57" s="15"/>
      <c r="G57" s="15"/>
    </row>
    <row r="58" spans="2:7">
      <c r="B58" s="15"/>
      <c r="C58" s="15"/>
      <c r="D58" s="15"/>
      <c r="E58" s="15"/>
      <c r="F58" s="15"/>
      <c r="G58" s="15"/>
    </row>
    <row r="59" spans="2:7">
      <c r="B59" s="15"/>
      <c r="C59" s="15"/>
      <c r="D59" s="15"/>
      <c r="E59" s="15"/>
      <c r="F59" s="15"/>
      <c r="G59" s="15"/>
    </row>
    <row r="60" spans="2:7">
      <c r="B60" s="15"/>
      <c r="C60" s="15"/>
      <c r="D60" s="15"/>
      <c r="E60" s="15"/>
      <c r="F60" s="15"/>
      <c r="G60" s="15"/>
    </row>
    <row r="61" spans="2:7">
      <c r="B61" s="15"/>
      <c r="C61" s="15"/>
      <c r="D61" s="15"/>
      <c r="E61" s="15"/>
      <c r="F61" s="15"/>
      <c r="G61" s="15"/>
    </row>
    <row r="62" spans="2:7">
      <c r="B62" s="15"/>
      <c r="C62" s="15"/>
      <c r="D62" s="15"/>
      <c r="E62" s="15"/>
      <c r="F62" s="15"/>
      <c r="G62" s="15"/>
    </row>
    <row r="63" spans="2:7">
      <c r="B63" s="15"/>
      <c r="C63" s="15"/>
      <c r="D63" s="15"/>
      <c r="E63" s="15"/>
      <c r="F63" s="15"/>
      <c r="G63" s="15"/>
    </row>
    <row r="64" spans="2:7">
      <c r="B64" s="15"/>
      <c r="C64" s="15"/>
      <c r="D64" s="15"/>
      <c r="E64" s="15"/>
      <c r="F64" s="15"/>
      <c r="G64" s="15"/>
    </row>
    <row r="65" spans="2:7">
      <c r="B65" s="15"/>
      <c r="C65" s="15"/>
      <c r="D65" s="15"/>
      <c r="E65" s="15"/>
      <c r="F65" s="15"/>
      <c r="G65" s="15"/>
    </row>
    <row r="66" spans="2:7">
      <c r="B66" s="15"/>
      <c r="C66" s="15"/>
      <c r="D66" s="15"/>
      <c r="E66" s="15"/>
      <c r="F66" s="15"/>
      <c r="G66" s="15"/>
    </row>
    <row r="67" spans="2:7">
      <c r="B67" s="15"/>
      <c r="C67" s="15"/>
      <c r="D67" s="15"/>
      <c r="E67" s="15"/>
      <c r="F67" s="15"/>
      <c r="G67" s="15"/>
    </row>
    <row r="68" spans="2:7">
      <c r="B68" s="15"/>
      <c r="C68" s="15"/>
      <c r="D68" s="15"/>
      <c r="E68" s="15"/>
      <c r="F68" s="15"/>
      <c r="G68" s="15"/>
    </row>
    <row r="69" spans="2:7">
      <c r="B69" s="15"/>
      <c r="C69" s="15"/>
      <c r="D69" s="15"/>
      <c r="E69" s="15"/>
      <c r="F69" s="15"/>
      <c r="G69" s="15"/>
    </row>
    <row r="70" spans="2:7">
      <c r="B70" s="15"/>
      <c r="C70" s="15"/>
      <c r="D70" s="15"/>
      <c r="E70" s="15"/>
      <c r="F70" s="15"/>
      <c r="G70" s="15"/>
    </row>
    <row r="71" spans="2:7">
      <c r="B71" s="15"/>
      <c r="C71" s="15"/>
      <c r="D71" s="15"/>
      <c r="E71" s="15"/>
      <c r="F71" s="15"/>
      <c r="G71" s="15"/>
    </row>
    <row r="72" spans="2:7">
      <c r="B72" s="15"/>
      <c r="C72" s="15"/>
      <c r="D72" s="15"/>
      <c r="E72" s="15"/>
      <c r="F72" s="15"/>
      <c r="G72" s="15"/>
    </row>
    <row r="73" spans="2:7">
      <c r="B73" s="15"/>
      <c r="C73" s="15"/>
      <c r="D73" s="15"/>
      <c r="E73" s="15"/>
      <c r="F73" s="15"/>
      <c r="G73" s="15"/>
    </row>
    <row r="74" spans="2:7">
      <c r="B74" s="15"/>
      <c r="C74" s="15"/>
      <c r="D74" s="15"/>
      <c r="E74" s="15"/>
      <c r="F74" s="15"/>
      <c r="G74" s="15"/>
    </row>
    <row r="75" spans="2:7">
      <c r="B75" s="15"/>
      <c r="C75" s="15"/>
      <c r="D75" s="15"/>
      <c r="E75" s="15"/>
      <c r="F75" s="15"/>
      <c r="G75" s="15"/>
    </row>
    <row r="76" spans="2:7">
      <c r="B76" s="15"/>
      <c r="C76" s="15"/>
      <c r="D76" s="15"/>
      <c r="E76" s="15"/>
      <c r="F76" s="15"/>
      <c r="G76" s="15"/>
    </row>
    <row r="77" spans="2:7">
      <c r="B77" s="15"/>
      <c r="C77" s="15"/>
      <c r="D77" s="15"/>
      <c r="E77" s="15"/>
      <c r="F77" s="15"/>
      <c r="G77" s="15"/>
    </row>
    <row r="78" spans="2:7">
      <c r="B78" s="15"/>
      <c r="C78" s="15"/>
      <c r="D78" s="15"/>
      <c r="E78" s="15"/>
      <c r="F78" s="15"/>
      <c r="G78" s="15"/>
    </row>
    <row r="79" spans="2:7">
      <c r="B79" s="15"/>
      <c r="C79" s="15"/>
      <c r="D79" s="15"/>
      <c r="E79" s="15"/>
      <c r="F79" s="15"/>
      <c r="G79" s="15"/>
    </row>
    <row r="80" spans="2:7">
      <c r="B80" s="15"/>
      <c r="C80" s="15"/>
      <c r="D80" s="15"/>
      <c r="E80" s="15"/>
      <c r="F80" s="15"/>
      <c r="G80" s="15"/>
    </row>
    <row r="81" spans="2:7">
      <c r="B81" s="15"/>
      <c r="C81" s="15"/>
      <c r="D81" s="15"/>
      <c r="E81" s="15"/>
      <c r="F81" s="15"/>
      <c r="G81" s="15"/>
    </row>
    <row r="82" spans="2:7">
      <c r="B82" s="15"/>
      <c r="C82" s="15"/>
      <c r="D82" s="15"/>
      <c r="E82" s="15"/>
      <c r="F82" s="15"/>
      <c r="G82" s="15"/>
    </row>
    <row r="83" spans="2:7">
      <c r="B83" s="15"/>
      <c r="C83" s="15"/>
      <c r="D83" s="15"/>
      <c r="E83" s="15"/>
      <c r="F83" s="15"/>
      <c r="G83" s="15"/>
    </row>
    <row r="84" spans="2:7">
      <c r="B84" s="15"/>
      <c r="C84" s="15"/>
      <c r="D84" s="15"/>
      <c r="E84" s="15"/>
      <c r="F84" s="15"/>
      <c r="G84" s="15"/>
    </row>
    <row r="85" spans="2:7">
      <c r="B85" s="15"/>
      <c r="C85" s="15"/>
      <c r="D85" s="15"/>
      <c r="E85" s="15"/>
      <c r="F85" s="15"/>
      <c r="G85" s="15"/>
    </row>
    <row r="86" spans="2:7">
      <c r="B86" s="15"/>
      <c r="C86" s="15"/>
      <c r="D86" s="15"/>
      <c r="E86" s="15"/>
      <c r="F86" s="15"/>
      <c r="G86" s="15"/>
    </row>
    <row r="87" spans="2:7">
      <c r="B87" s="15"/>
      <c r="C87" s="15"/>
      <c r="D87" s="15"/>
      <c r="E87" s="15"/>
      <c r="F87" s="15"/>
      <c r="G87" s="15"/>
    </row>
    <row r="88" spans="2:7">
      <c r="B88" s="15"/>
      <c r="C88" s="15"/>
      <c r="D88" s="15"/>
      <c r="E88" s="15"/>
      <c r="F88" s="15"/>
      <c r="G88" s="15"/>
    </row>
    <row r="89" spans="2:7">
      <c r="B89" s="15"/>
      <c r="C89" s="15"/>
      <c r="D89" s="15"/>
      <c r="E89" s="15"/>
      <c r="F89" s="15"/>
      <c r="G89" s="15"/>
    </row>
    <row r="90" spans="2:7">
      <c r="B90" s="15"/>
      <c r="C90" s="15"/>
      <c r="D90" s="15"/>
      <c r="E90" s="15"/>
      <c r="F90" s="15"/>
      <c r="G90" s="15"/>
    </row>
    <row r="91" spans="2:7">
      <c r="B91" s="15"/>
      <c r="C91" s="15"/>
      <c r="D91" s="15"/>
      <c r="E91" s="15"/>
      <c r="F91" s="15"/>
      <c r="G91" s="15"/>
    </row>
    <row r="92" spans="2:7">
      <c r="B92" s="15"/>
      <c r="C92" s="15"/>
      <c r="D92" s="15"/>
      <c r="E92" s="15"/>
      <c r="F92" s="15"/>
      <c r="G92" s="15"/>
    </row>
    <row r="93" spans="2:7">
      <c r="B93" s="15"/>
      <c r="C93" s="15"/>
      <c r="D93" s="15"/>
      <c r="E93" s="15"/>
      <c r="F93" s="15"/>
      <c r="G93" s="15"/>
    </row>
    <row r="94" spans="2:7">
      <c r="B94" s="15"/>
      <c r="C94" s="15"/>
      <c r="D94" s="15"/>
      <c r="E94" s="15"/>
      <c r="F94" s="15"/>
      <c r="G94" s="15"/>
    </row>
    <row r="95" spans="2:7">
      <c r="B95" s="15"/>
      <c r="C95" s="15"/>
      <c r="D95" s="15"/>
      <c r="E95" s="15"/>
      <c r="F95" s="15"/>
      <c r="G95" s="15"/>
    </row>
    <row r="96" spans="2:7">
      <c r="B96" s="15"/>
      <c r="C96" s="15"/>
      <c r="D96" s="15"/>
      <c r="E96" s="15"/>
      <c r="F96" s="15"/>
      <c r="G96" s="15"/>
    </row>
    <row r="97" spans="2:7">
      <c r="B97" s="15"/>
      <c r="C97" s="15"/>
      <c r="D97" s="15"/>
      <c r="E97" s="15"/>
      <c r="F97" s="15"/>
      <c r="G97" s="15"/>
    </row>
    <row r="98" spans="2:7">
      <c r="B98" s="15"/>
      <c r="C98" s="15"/>
      <c r="D98" s="15"/>
      <c r="E98" s="15"/>
      <c r="F98" s="15"/>
      <c r="G98" s="15"/>
    </row>
    <row r="99" spans="2:7">
      <c r="B99" s="15"/>
      <c r="C99" s="15"/>
      <c r="D99" s="15"/>
      <c r="E99" s="15"/>
      <c r="F99" s="15"/>
      <c r="G99" s="15"/>
    </row>
    <row r="100" spans="2:7">
      <c r="B100" s="15"/>
      <c r="C100" s="15"/>
      <c r="D100" s="15"/>
      <c r="E100" s="15"/>
      <c r="F100" s="15"/>
      <c r="G100" s="15"/>
    </row>
    <row r="101" spans="2:7">
      <c r="B101" s="15"/>
      <c r="C101" s="15"/>
      <c r="D101" s="15"/>
      <c r="E101" s="15"/>
      <c r="F101" s="15"/>
      <c r="G101" s="15"/>
    </row>
    <row r="102" spans="2:7">
      <c r="B102" s="15"/>
      <c r="C102" s="15"/>
      <c r="D102" s="15"/>
      <c r="E102" s="15"/>
      <c r="F102" s="15"/>
      <c r="G102" s="15"/>
    </row>
    <row r="103" spans="2:7">
      <c r="B103" s="15"/>
      <c r="C103" s="15"/>
      <c r="D103" s="15"/>
      <c r="E103" s="15"/>
      <c r="F103" s="15"/>
      <c r="G103" s="15"/>
    </row>
    <row r="104" spans="2:7">
      <c r="B104" s="15"/>
      <c r="C104" s="15"/>
      <c r="D104" s="15"/>
      <c r="E104" s="15"/>
      <c r="F104" s="15"/>
      <c r="G104" s="15"/>
    </row>
    <row r="105" spans="2:7">
      <c r="B105" s="15"/>
      <c r="C105" s="15"/>
      <c r="D105" s="15"/>
      <c r="E105" s="15"/>
      <c r="F105" s="15"/>
      <c r="G105" s="15"/>
    </row>
    <row r="106" spans="2:7">
      <c r="B106" s="15"/>
      <c r="C106" s="15"/>
      <c r="D106" s="15"/>
      <c r="E106" s="15"/>
      <c r="F106" s="15"/>
      <c r="G106" s="15"/>
    </row>
    <row r="107" spans="2:7">
      <c r="B107" s="15"/>
      <c r="C107" s="15"/>
      <c r="D107" s="15"/>
      <c r="E107" s="15"/>
      <c r="F107" s="15"/>
      <c r="G107" s="15"/>
    </row>
    <row r="108" spans="2:7">
      <c r="B108" s="15"/>
      <c r="C108" s="15"/>
      <c r="D108" s="15"/>
      <c r="E108" s="15"/>
      <c r="F108" s="15"/>
      <c r="G108" s="15"/>
    </row>
    <row r="109" spans="2:7">
      <c r="B109" s="15"/>
      <c r="C109" s="15"/>
      <c r="D109" s="15"/>
      <c r="E109" s="15"/>
      <c r="F109" s="15"/>
      <c r="G109" s="15"/>
    </row>
    <row r="110" spans="2:7">
      <c r="B110" s="15"/>
      <c r="C110" s="15"/>
      <c r="D110" s="15"/>
      <c r="E110" s="15"/>
      <c r="F110" s="15"/>
      <c r="G110" s="15"/>
    </row>
    <row r="111" spans="2:7">
      <c r="B111" s="15"/>
      <c r="C111" s="15"/>
      <c r="D111" s="15"/>
      <c r="E111" s="15"/>
      <c r="F111" s="15"/>
      <c r="G111" s="15"/>
    </row>
    <row r="112" spans="2:7">
      <c r="B112" s="15"/>
      <c r="C112" s="15"/>
      <c r="D112" s="15"/>
      <c r="E112" s="15"/>
      <c r="F112" s="15"/>
      <c r="G112" s="15"/>
    </row>
    <row r="113" spans="2:7">
      <c r="B113" s="15"/>
      <c r="C113" s="15"/>
      <c r="D113" s="15"/>
      <c r="E113" s="15"/>
      <c r="F113" s="15"/>
      <c r="G113" s="15"/>
    </row>
    <row r="114" spans="2:7">
      <c r="B114" s="15"/>
      <c r="C114" s="15"/>
      <c r="D114" s="15"/>
      <c r="E114" s="15"/>
      <c r="F114" s="15"/>
      <c r="G114" s="15"/>
    </row>
    <row r="115" spans="2:7">
      <c r="B115" s="15"/>
      <c r="C115" s="15"/>
      <c r="D115" s="15"/>
      <c r="E115" s="15"/>
      <c r="F115" s="15"/>
      <c r="G115" s="15"/>
    </row>
    <row r="116" spans="2:7">
      <c r="B116" s="15"/>
      <c r="C116" s="15"/>
      <c r="D116" s="15"/>
      <c r="E116" s="15"/>
      <c r="F116" s="15"/>
      <c r="G116" s="15"/>
    </row>
    <row r="117" spans="2:7">
      <c r="B117" s="15"/>
      <c r="C117" s="15"/>
      <c r="D117" s="15"/>
      <c r="E117" s="15"/>
      <c r="F117" s="15"/>
      <c r="G117" s="15"/>
    </row>
    <row r="118" spans="2:7">
      <c r="B118" s="15"/>
      <c r="C118" s="15"/>
      <c r="D118" s="15"/>
      <c r="E118" s="15"/>
      <c r="F118" s="15"/>
      <c r="G118" s="15"/>
    </row>
    <row r="119" spans="2:7">
      <c r="B119" s="15"/>
      <c r="C119" s="15"/>
      <c r="D119" s="15"/>
      <c r="E119" s="15"/>
      <c r="F119" s="15"/>
      <c r="G119" s="15"/>
    </row>
    <row r="120" spans="2:7">
      <c r="B120" s="15"/>
      <c r="C120" s="15"/>
      <c r="D120" s="15"/>
      <c r="E120" s="15"/>
      <c r="F120" s="15"/>
      <c r="G120" s="15"/>
    </row>
    <row r="121" spans="2:7">
      <c r="B121" s="15"/>
      <c r="C121" s="15"/>
      <c r="D121" s="15"/>
      <c r="E121" s="15"/>
      <c r="F121" s="15"/>
      <c r="G121" s="15"/>
    </row>
    <row r="122" spans="2:7">
      <c r="B122" s="15"/>
      <c r="C122" s="15"/>
      <c r="D122" s="15"/>
      <c r="E122" s="15"/>
      <c r="F122" s="15"/>
      <c r="G122" s="15"/>
    </row>
    <row r="123" spans="2:7">
      <c r="B123" s="15"/>
      <c r="C123" s="15"/>
      <c r="D123" s="15"/>
      <c r="E123" s="15"/>
      <c r="F123" s="15"/>
      <c r="G123" s="15"/>
    </row>
    <row r="124" spans="2:7">
      <c r="B124" s="15"/>
      <c r="C124" s="15"/>
      <c r="D124" s="15"/>
      <c r="E124" s="15"/>
      <c r="F124" s="15"/>
      <c r="G124" s="15"/>
    </row>
    <row r="125" spans="2:7">
      <c r="B125" s="15"/>
      <c r="C125" s="15"/>
      <c r="D125" s="15"/>
      <c r="E125" s="15"/>
      <c r="F125" s="15"/>
      <c r="G125" s="15"/>
    </row>
    <row r="126" spans="2:7">
      <c r="B126" s="15"/>
      <c r="C126" s="15"/>
      <c r="D126" s="15"/>
      <c r="E126" s="15"/>
      <c r="F126" s="15"/>
      <c r="G126" s="15"/>
    </row>
    <row r="127" spans="2:7">
      <c r="B127" s="15"/>
      <c r="C127" s="15"/>
      <c r="D127" s="15"/>
      <c r="E127" s="15"/>
      <c r="F127" s="15"/>
      <c r="G127" s="15"/>
    </row>
    <row r="128" spans="2:7">
      <c r="B128" s="15"/>
      <c r="C128" s="15"/>
      <c r="D128" s="15"/>
      <c r="E128" s="15"/>
      <c r="F128" s="15"/>
      <c r="G128" s="15"/>
    </row>
    <row r="129" spans="2:7">
      <c r="B129" s="15"/>
      <c r="C129" s="15"/>
      <c r="D129" s="15"/>
      <c r="E129" s="15"/>
      <c r="F129" s="15"/>
      <c r="G129" s="15"/>
    </row>
    <row r="130" spans="2:7">
      <c r="B130" s="15"/>
      <c r="C130" s="15"/>
      <c r="D130" s="15"/>
      <c r="E130" s="15"/>
      <c r="F130" s="15"/>
      <c r="G130" s="15"/>
    </row>
    <row r="131" spans="2:7">
      <c r="B131" s="15"/>
      <c r="C131" s="15"/>
      <c r="D131" s="15"/>
      <c r="E131" s="15"/>
      <c r="F131" s="15"/>
      <c r="G131" s="15"/>
    </row>
    <row r="132" spans="2:7">
      <c r="B132" s="15"/>
      <c r="C132" s="15"/>
      <c r="D132" s="15"/>
      <c r="E132" s="15"/>
      <c r="F132" s="15"/>
      <c r="G132" s="15"/>
    </row>
    <row r="133" spans="2:7">
      <c r="B133" s="15"/>
      <c r="C133" s="15"/>
      <c r="D133" s="15"/>
      <c r="E133" s="15"/>
      <c r="F133" s="15"/>
      <c r="G133" s="15"/>
    </row>
    <row r="134" spans="2:7">
      <c r="B134" s="15"/>
      <c r="C134" s="15"/>
      <c r="D134" s="15"/>
      <c r="E134" s="15"/>
      <c r="F134" s="15"/>
      <c r="G134" s="15"/>
    </row>
    <row r="135" spans="2:7">
      <c r="B135" s="15"/>
      <c r="C135" s="15"/>
      <c r="D135" s="15"/>
      <c r="E135" s="15"/>
      <c r="F135" s="15"/>
      <c r="G135" s="15"/>
    </row>
    <row r="136" spans="2:7">
      <c r="B136" s="15"/>
      <c r="C136" s="15"/>
      <c r="D136" s="15"/>
      <c r="E136" s="15"/>
      <c r="F136" s="15"/>
      <c r="G136" s="15"/>
    </row>
  </sheetData>
  <mergeCells count="3">
    <mergeCell ref="A1:G1"/>
    <mergeCell ref="A2:G2"/>
    <mergeCell ref="D3:G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J13" sqref="J13"/>
    </sheetView>
  </sheetViews>
  <sheetFormatPr defaultRowHeight="15"/>
  <sheetData>
    <row r="1" spans="1:9">
      <c r="B1" t="s">
        <v>414</v>
      </c>
      <c r="C1" t="s">
        <v>415</v>
      </c>
      <c r="D1" t="s">
        <v>101</v>
      </c>
      <c r="E1" t="s">
        <v>416</v>
      </c>
      <c r="H1" t="s">
        <v>417</v>
      </c>
      <c r="I1" t="s">
        <v>418</v>
      </c>
    </row>
    <row r="2" spans="1:9">
      <c r="A2" t="s">
        <v>419</v>
      </c>
      <c r="B2">
        <v>10</v>
      </c>
      <c r="C2">
        <v>27</v>
      </c>
      <c r="D2">
        <v>37</v>
      </c>
      <c r="E2" t="s">
        <v>420</v>
      </c>
      <c r="F2">
        <v>3.6934933000000003E-2</v>
      </c>
      <c r="H2">
        <v>14.60526316</v>
      </c>
      <c r="I2">
        <v>22.39473684</v>
      </c>
    </row>
    <row r="3" spans="1:9">
      <c r="A3" t="s">
        <v>421</v>
      </c>
      <c r="B3">
        <v>20</v>
      </c>
      <c r="C3">
        <v>19</v>
      </c>
      <c r="D3">
        <v>39</v>
      </c>
      <c r="E3" t="s">
        <v>422</v>
      </c>
      <c r="F3">
        <v>4.6752438060000001</v>
      </c>
      <c r="H3">
        <v>15.39473684</v>
      </c>
      <c r="I3">
        <v>23.60526316</v>
      </c>
    </row>
    <row r="4" spans="1:9">
      <c r="A4" t="s">
        <v>101</v>
      </c>
      <c r="B4">
        <v>30</v>
      </c>
      <c r="C4">
        <v>46</v>
      </c>
      <c r="D4">
        <v>76</v>
      </c>
      <c r="E4" t="s">
        <v>423</v>
      </c>
      <c r="F4">
        <v>3.0600359000000001E-2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5" workbookViewId="0">
      <selection activeCell="A18" sqref="A18:B27"/>
    </sheetView>
  </sheetViews>
  <sheetFormatPr defaultRowHeight="15"/>
  <cols>
    <col min="1" max="1" width="24.140625" bestFit="1" customWidth="1"/>
    <col min="8" max="8" width="14.7109375" bestFit="1" customWidth="1"/>
  </cols>
  <sheetData>
    <row r="1" spans="1:9" ht="18">
      <c r="A1" s="24" t="s">
        <v>425</v>
      </c>
      <c r="B1" s="706" t="s">
        <v>426</v>
      </c>
      <c r="C1" s="706"/>
      <c r="D1" s="706"/>
      <c r="E1" s="706"/>
      <c r="F1" s="707"/>
      <c r="G1" s="24" t="s">
        <v>427</v>
      </c>
      <c r="H1" s="26" t="s">
        <v>428</v>
      </c>
      <c r="I1" s="449"/>
    </row>
    <row r="2" spans="1:9">
      <c r="A2" s="27">
        <v>15</v>
      </c>
      <c r="B2" s="22">
        <v>7</v>
      </c>
      <c r="C2" s="22">
        <v>7</v>
      </c>
      <c r="D2" s="22">
        <v>15</v>
      </c>
      <c r="E2" s="22">
        <v>11</v>
      </c>
      <c r="F2" s="28">
        <v>9</v>
      </c>
      <c r="G2" s="451">
        <f>SUM(B2:F2)</f>
        <v>49</v>
      </c>
      <c r="H2" s="452">
        <f>AVERAGE(B2:F2)</f>
        <v>9.8000000000000007</v>
      </c>
      <c r="I2" s="450"/>
    </row>
    <row r="3" spans="1:9">
      <c r="A3" s="27">
        <v>20</v>
      </c>
      <c r="B3" s="22">
        <v>12</v>
      </c>
      <c r="C3" s="22">
        <v>17</v>
      </c>
      <c r="D3" s="22">
        <v>12</v>
      </c>
      <c r="E3" s="22">
        <v>18</v>
      </c>
      <c r="F3" s="28">
        <v>18</v>
      </c>
      <c r="G3" s="451">
        <f t="shared" ref="G3:G6" si="0">SUM(B3:F3)</f>
        <v>77</v>
      </c>
      <c r="H3" s="452">
        <f t="shared" ref="H3:H6" si="1">AVERAGE(B3:F3)</f>
        <v>15.4</v>
      </c>
      <c r="I3" s="450"/>
    </row>
    <row r="4" spans="1:9">
      <c r="A4" s="27">
        <v>25</v>
      </c>
      <c r="B4" s="22">
        <v>14</v>
      </c>
      <c r="C4" s="22">
        <v>18</v>
      </c>
      <c r="D4" s="22">
        <v>18</v>
      </c>
      <c r="E4" s="22">
        <v>19</v>
      </c>
      <c r="F4" s="28">
        <v>19</v>
      </c>
      <c r="G4" s="451">
        <f t="shared" si="0"/>
        <v>88</v>
      </c>
      <c r="H4" s="452">
        <f t="shared" si="1"/>
        <v>17.600000000000001</v>
      </c>
      <c r="I4" s="450"/>
    </row>
    <row r="5" spans="1:9">
      <c r="A5" s="27">
        <v>30</v>
      </c>
      <c r="B5" s="22">
        <v>19</v>
      </c>
      <c r="C5" s="22">
        <v>25</v>
      </c>
      <c r="D5" s="22">
        <v>22</v>
      </c>
      <c r="E5" s="22">
        <v>19</v>
      </c>
      <c r="F5" s="28">
        <v>23</v>
      </c>
      <c r="G5" s="451">
        <f t="shared" si="0"/>
        <v>108</v>
      </c>
      <c r="H5" s="452">
        <f t="shared" si="1"/>
        <v>21.6</v>
      </c>
      <c r="I5" s="450"/>
    </row>
    <row r="6" spans="1:9" ht="15.75" thickBot="1">
      <c r="A6" s="30">
        <v>35</v>
      </c>
      <c r="B6" s="31">
        <v>7</v>
      </c>
      <c r="C6" s="31">
        <v>10</v>
      </c>
      <c r="D6" s="31">
        <v>11</v>
      </c>
      <c r="E6" s="31">
        <v>15</v>
      </c>
      <c r="F6" s="32">
        <v>11</v>
      </c>
      <c r="G6" s="453">
        <f t="shared" si="0"/>
        <v>54</v>
      </c>
      <c r="H6" s="454">
        <f t="shared" si="1"/>
        <v>10.8</v>
      </c>
      <c r="I6" s="450"/>
    </row>
    <row r="7" spans="1:9">
      <c r="A7" s="448"/>
      <c r="B7" s="433"/>
      <c r="C7" s="433"/>
      <c r="D7" s="433"/>
      <c r="E7" s="433"/>
      <c r="F7" s="433"/>
      <c r="G7" s="433"/>
      <c r="H7" s="433"/>
      <c r="I7" s="28"/>
    </row>
    <row r="8" spans="1:9" ht="15.75" thickBot="1">
      <c r="A8" s="30"/>
      <c r="B8" s="31"/>
      <c r="C8" s="31"/>
      <c r="D8" s="31"/>
      <c r="E8" s="31"/>
      <c r="F8" s="31" t="s">
        <v>101</v>
      </c>
      <c r="G8" s="31">
        <f>SUM(G2:G6)</f>
        <v>376</v>
      </c>
      <c r="H8" s="31">
        <f>AVERAGE(H2:H6)</f>
        <v>15.040000000000001</v>
      </c>
      <c r="I8" s="32" t="s">
        <v>424</v>
      </c>
    </row>
    <row r="9" spans="1:9">
      <c r="G9">
        <f>G8^2</f>
        <v>141376</v>
      </c>
      <c r="H9">
        <f>G9/25</f>
        <v>5655.04</v>
      </c>
    </row>
    <row r="10" spans="1:9">
      <c r="A10" t="s">
        <v>429</v>
      </c>
    </row>
    <row r="12" spans="1:9">
      <c r="B12" s="22">
        <f>B2^2</f>
        <v>49</v>
      </c>
      <c r="C12" s="22">
        <f t="shared" ref="C12:F12" si="2">C2^2</f>
        <v>49</v>
      </c>
      <c r="D12" s="22">
        <f t="shared" si="2"/>
        <v>225</v>
      </c>
      <c r="E12" s="22">
        <f t="shared" si="2"/>
        <v>121</v>
      </c>
      <c r="F12" s="22">
        <f t="shared" si="2"/>
        <v>81</v>
      </c>
    </row>
    <row r="13" spans="1:9">
      <c r="B13" s="22">
        <f t="shared" ref="B13:F16" si="3">B3^2</f>
        <v>144</v>
      </c>
      <c r="C13" s="22">
        <f t="shared" si="3"/>
        <v>289</v>
      </c>
      <c r="D13" s="22">
        <f t="shared" si="3"/>
        <v>144</v>
      </c>
      <c r="E13" s="22">
        <f t="shared" si="3"/>
        <v>324</v>
      </c>
      <c r="F13" s="22">
        <f t="shared" si="3"/>
        <v>324</v>
      </c>
    </row>
    <row r="14" spans="1:9">
      <c r="B14" s="22">
        <f t="shared" si="3"/>
        <v>196</v>
      </c>
      <c r="C14" s="22">
        <f t="shared" si="3"/>
        <v>324</v>
      </c>
      <c r="D14" s="22">
        <f t="shared" si="3"/>
        <v>324</v>
      </c>
      <c r="E14" s="22">
        <f t="shared" si="3"/>
        <v>361</v>
      </c>
      <c r="F14" s="22">
        <f t="shared" si="3"/>
        <v>361</v>
      </c>
    </row>
    <row r="15" spans="1:9">
      <c r="B15" s="22">
        <f t="shared" si="3"/>
        <v>361</v>
      </c>
      <c r="C15" s="22">
        <f t="shared" si="3"/>
        <v>625</v>
      </c>
      <c r="D15" s="22">
        <f t="shared" si="3"/>
        <v>484</v>
      </c>
      <c r="E15" s="22">
        <f t="shared" si="3"/>
        <v>361</v>
      </c>
      <c r="F15" s="22">
        <f t="shared" si="3"/>
        <v>529</v>
      </c>
    </row>
    <row r="16" spans="1:9">
      <c r="B16" s="22">
        <f t="shared" si="3"/>
        <v>49</v>
      </c>
      <c r="C16" s="22">
        <f t="shared" si="3"/>
        <v>100</v>
      </c>
      <c r="D16" s="22">
        <f t="shared" si="3"/>
        <v>121</v>
      </c>
      <c r="E16" s="22">
        <f t="shared" si="3"/>
        <v>225</v>
      </c>
      <c r="F16" s="22">
        <f t="shared" si="3"/>
        <v>121</v>
      </c>
      <c r="G16" s="455"/>
    </row>
    <row r="17" spans="1:8" ht="15.75" thickBot="1"/>
    <row r="18" spans="1:8">
      <c r="A18" s="24" t="s">
        <v>430</v>
      </c>
      <c r="B18" s="26">
        <f>SUM(B12:F16)</f>
        <v>6292</v>
      </c>
    </row>
    <row r="19" spans="1:8">
      <c r="A19" s="27" t="s">
        <v>431</v>
      </c>
      <c r="B19" s="28">
        <f>G8^2/25</f>
        <v>5655.04</v>
      </c>
    </row>
    <row r="20" spans="1:8">
      <c r="A20" s="463" t="s">
        <v>433</v>
      </c>
      <c r="B20" s="464">
        <f>B18-B19</f>
        <v>636.96</v>
      </c>
    </row>
    <row r="21" spans="1:8">
      <c r="A21" s="27"/>
      <c r="B21" s="28"/>
    </row>
    <row r="22" spans="1:8">
      <c r="A22" s="27" t="s">
        <v>434</v>
      </c>
      <c r="B22" s="28">
        <f>SUM(G2^2 + G3^2 + G4^2 + G5^2 + G6^2)</f>
        <v>30654</v>
      </c>
    </row>
    <row r="23" spans="1:8">
      <c r="A23" s="27" t="s">
        <v>435</v>
      </c>
      <c r="B23" s="28">
        <f>1/COUNT(A2:A6)</f>
        <v>0.2</v>
      </c>
    </row>
    <row r="24" spans="1:8">
      <c r="A24" s="27" t="s">
        <v>431</v>
      </c>
      <c r="B24" s="28">
        <f>G8^2/25</f>
        <v>5655.04</v>
      </c>
      <c r="H24">
        <f>FINV(0.05,4,20)</f>
        <v>2.8660814020156589</v>
      </c>
    </row>
    <row r="25" spans="1:8" s="1" customFormat="1" ht="26.25" customHeight="1">
      <c r="A25" s="465" t="s">
        <v>436</v>
      </c>
      <c r="B25" s="466">
        <f>(B22*B23)-B24</f>
        <v>475.76000000000022</v>
      </c>
    </row>
    <row r="26" spans="1:8">
      <c r="A26" s="27"/>
      <c r="B26" s="28"/>
    </row>
    <row r="27" spans="1:8" ht="15.75" thickBot="1">
      <c r="A27" s="467" t="s">
        <v>437</v>
      </c>
      <c r="B27" s="468">
        <f>B20-B25</f>
        <v>161.19999999999982</v>
      </c>
    </row>
  </sheetData>
  <mergeCells count="1">
    <mergeCell ref="B1:F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heetViews>
  <sheetFormatPr defaultRowHeight="15"/>
  <cols>
    <col min="1" max="1" width="19.85546875" customWidth="1"/>
    <col min="2" max="2" width="14.42578125" customWidth="1"/>
    <col min="3" max="3" width="10.42578125" customWidth="1"/>
    <col min="7" max="7" width="10.7109375" bestFit="1" customWidth="1"/>
  </cols>
  <sheetData>
    <row r="1" spans="1:7" s="1" customFormat="1" ht="28.5" customHeight="1">
      <c r="A1" s="456" t="s">
        <v>438</v>
      </c>
      <c r="B1" s="457" t="s">
        <v>432</v>
      </c>
      <c r="C1" s="457" t="s">
        <v>439</v>
      </c>
      <c r="D1" s="457" t="s">
        <v>440</v>
      </c>
      <c r="E1" s="457" t="s">
        <v>441</v>
      </c>
      <c r="F1" s="457" t="s">
        <v>444</v>
      </c>
      <c r="G1" s="458" t="s">
        <v>445</v>
      </c>
    </row>
    <row r="2" spans="1:7">
      <c r="A2" s="459" t="s">
        <v>442</v>
      </c>
      <c r="B2" s="15">
        <v>475.56</v>
      </c>
      <c r="C2" s="15">
        <v>4</v>
      </c>
      <c r="D2" s="15">
        <f>B2/C2</f>
        <v>118.89</v>
      </c>
      <c r="E2" s="15">
        <f>D2/D3</f>
        <v>14.750620347394557</v>
      </c>
      <c r="F2" s="460">
        <f>FINV(0.05,C2,C3)</f>
        <v>2.8660814020156589</v>
      </c>
      <c r="G2" s="16" t="str">
        <f>IF(E2&gt;F2,"Reject Null", "Accept Null")</f>
        <v>Reject Null</v>
      </c>
    </row>
    <row r="3" spans="1:7">
      <c r="A3" s="459" t="s">
        <v>443</v>
      </c>
      <c r="B3" s="15">
        <f>'Sum of Squares Analysis'!B27</f>
        <v>161.19999999999982</v>
      </c>
      <c r="C3" s="15">
        <v>20</v>
      </c>
      <c r="D3" s="15">
        <f>B3/C3</f>
        <v>8.0599999999999916</v>
      </c>
      <c r="E3" s="15"/>
      <c r="F3" s="15"/>
      <c r="G3" s="16"/>
    </row>
    <row r="4" spans="1:7" ht="15.75" thickBot="1">
      <c r="A4" s="461" t="s">
        <v>101</v>
      </c>
      <c r="B4" s="462">
        <f>SUM(B2:B3)</f>
        <v>636.75999999999976</v>
      </c>
      <c r="C4" s="19"/>
      <c r="D4" s="19"/>
      <c r="E4" s="19"/>
      <c r="F4" s="19"/>
      <c r="G4"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cols>
    <col min="1" max="1" width="3" bestFit="1" customWidth="1"/>
    <col min="4" max="4" width="10.5703125" bestFit="1" customWidth="1"/>
  </cols>
  <sheetData>
    <row r="1" spans="1:4" ht="18.75" thickBot="1">
      <c r="A1" s="614"/>
      <c r="B1" s="615" t="s">
        <v>632</v>
      </c>
      <c r="C1" s="614"/>
      <c r="D1" s="614"/>
    </row>
    <row r="2" spans="1:4" ht="19.5" thickBot="1">
      <c r="A2" s="619" t="s">
        <v>307</v>
      </c>
      <c r="B2" s="618" t="s">
        <v>222</v>
      </c>
      <c r="C2" s="622" t="s">
        <v>180</v>
      </c>
      <c r="D2" s="622" t="s">
        <v>181</v>
      </c>
    </row>
    <row r="3" spans="1:4" ht="18.75">
      <c r="A3" s="620">
        <v>1</v>
      </c>
      <c r="B3" s="616" t="s">
        <v>627</v>
      </c>
      <c r="C3" s="623">
        <v>100</v>
      </c>
      <c r="D3" s="624">
        <v>1000</v>
      </c>
    </row>
    <row r="4" spans="1:4" ht="18.75">
      <c r="A4" s="620">
        <v>2</v>
      </c>
      <c r="B4" s="616" t="s">
        <v>628</v>
      </c>
      <c r="C4" s="623">
        <v>200</v>
      </c>
      <c r="D4" s="624">
        <v>1500</v>
      </c>
    </row>
    <row r="5" spans="1:4" ht="18.75">
      <c r="A5" s="620">
        <v>3</v>
      </c>
      <c r="B5" s="616" t="s">
        <v>629</v>
      </c>
      <c r="C5" s="623">
        <v>150</v>
      </c>
      <c r="D5" s="624">
        <v>5000</v>
      </c>
    </row>
    <row r="6" spans="1:4" ht="18.75">
      <c r="A6" s="620">
        <v>4</v>
      </c>
      <c r="B6" s="616" t="s">
        <v>630</v>
      </c>
      <c r="C6" s="623">
        <v>50</v>
      </c>
      <c r="D6" s="624">
        <v>500</v>
      </c>
    </row>
    <row r="7" spans="1:4" ht="18.75">
      <c r="A7" s="620">
        <v>5</v>
      </c>
      <c r="B7" s="616" t="s">
        <v>631</v>
      </c>
      <c r="C7" s="623">
        <v>500</v>
      </c>
      <c r="D7" s="624">
        <v>550</v>
      </c>
    </row>
    <row r="8" spans="1:4" ht="18.75">
      <c r="A8" s="620">
        <v>6</v>
      </c>
      <c r="B8" s="616"/>
      <c r="C8" s="623"/>
      <c r="D8" s="624"/>
    </row>
    <row r="9" spans="1:4" ht="18.75">
      <c r="A9" s="620">
        <v>7</v>
      </c>
      <c r="B9" s="616"/>
      <c r="C9" s="623"/>
      <c r="D9" s="624"/>
    </row>
    <row r="10" spans="1:4" ht="18.75">
      <c r="A10" s="620">
        <v>8</v>
      </c>
      <c r="B10" s="616"/>
      <c r="C10" s="623"/>
      <c r="D10" s="624"/>
    </row>
    <row r="11" spans="1:4" ht="18.75">
      <c r="A11" s="620">
        <v>9</v>
      </c>
      <c r="B11" s="616"/>
      <c r="C11" s="623"/>
      <c r="D11" s="624"/>
    </row>
    <row r="12" spans="1:4" ht="19.5" thickBot="1">
      <c r="A12" s="621">
        <v>10</v>
      </c>
      <c r="B12" s="617"/>
      <c r="C12" s="625"/>
      <c r="D12" s="626"/>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G2" sqref="G2"/>
    </sheetView>
  </sheetViews>
  <sheetFormatPr defaultRowHeight="15"/>
  <cols>
    <col min="1" max="1" width="17.42578125" customWidth="1"/>
    <col min="2" max="2" width="14.5703125" customWidth="1"/>
    <col min="3" max="3" width="16.85546875" customWidth="1"/>
    <col min="4" max="4" width="17.42578125" customWidth="1"/>
    <col min="5" max="5" width="27.85546875" customWidth="1"/>
  </cols>
  <sheetData>
    <row r="1" spans="1:5" ht="18.75" thickBot="1">
      <c r="A1" s="643" t="s">
        <v>633</v>
      </c>
      <c r="B1" s="643" t="s">
        <v>634</v>
      </c>
      <c r="C1" s="643" t="s">
        <v>635</v>
      </c>
      <c r="D1" s="643" t="s">
        <v>636</v>
      </c>
      <c r="E1" s="643" t="s">
        <v>637</v>
      </c>
    </row>
    <row r="2" spans="1:5" ht="27" thickBot="1">
      <c r="A2" s="644" t="s">
        <v>638</v>
      </c>
      <c r="B2" s="644" t="s">
        <v>639</v>
      </c>
      <c r="C2" s="644" t="s">
        <v>640</v>
      </c>
      <c r="D2" s="644" t="s">
        <v>641</v>
      </c>
      <c r="E2" s="644" t="s">
        <v>642</v>
      </c>
    </row>
    <row r="3" spans="1:5">
      <c r="A3" s="638"/>
      <c r="B3" s="639"/>
      <c r="C3" s="628"/>
      <c r="D3" s="640"/>
      <c r="E3" s="641"/>
    </row>
    <row r="4" spans="1:5">
      <c r="A4" s="629"/>
      <c r="B4" s="633"/>
      <c r="C4" s="637"/>
      <c r="D4" s="635"/>
      <c r="E4" s="630"/>
    </row>
    <row r="5" spans="1:5">
      <c r="A5" s="629"/>
      <c r="B5" s="633"/>
      <c r="C5" s="637"/>
      <c r="D5" s="635"/>
      <c r="E5" s="630"/>
    </row>
    <row r="6" spans="1:5">
      <c r="A6" s="629"/>
      <c r="B6" s="633"/>
      <c r="C6" s="637"/>
      <c r="D6" s="635"/>
      <c r="E6" s="630"/>
    </row>
    <row r="7" spans="1:5">
      <c r="A7" s="629"/>
      <c r="B7" s="633"/>
      <c r="C7" s="637"/>
      <c r="D7" s="635"/>
      <c r="E7" s="630"/>
    </row>
    <row r="8" spans="1:5">
      <c r="A8" s="629"/>
      <c r="B8" s="633"/>
      <c r="C8" s="637"/>
      <c r="D8" s="635"/>
      <c r="E8" s="630"/>
    </row>
    <row r="9" spans="1:5">
      <c r="A9" s="629"/>
      <c r="B9" s="633"/>
      <c r="C9" s="637"/>
      <c r="D9" s="635"/>
      <c r="E9" s="630"/>
    </row>
    <row r="10" spans="1:5">
      <c r="A10" s="629"/>
      <c r="B10" s="633"/>
      <c r="C10" s="637"/>
      <c r="D10" s="635"/>
      <c r="E10" s="630"/>
    </row>
    <row r="11" spans="1:5">
      <c r="A11" s="629"/>
      <c r="B11" s="633"/>
      <c r="C11" s="637"/>
      <c r="D11" s="635"/>
      <c r="E11" s="630"/>
    </row>
    <row r="12" spans="1:5">
      <c r="A12" s="629"/>
      <c r="B12" s="633"/>
      <c r="C12" s="637"/>
      <c r="D12" s="635"/>
      <c r="E12" s="630"/>
    </row>
    <row r="13" spans="1:5">
      <c r="A13" s="629"/>
      <c r="B13" s="633"/>
      <c r="C13" s="637"/>
      <c r="D13" s="635"/>
      <c r="E13" s="630"/>
    </row>
    <row r="14" spans="1:5">
      <c r="A14" s="629"/>
      <c r="B14" s="633"/>
      <c r="C14" s="637"/>
      <c r="D14" s="635"/>
      <c r="E14" s="630"/>
    </row>
    <row r="15" spans="1:5">
      <c r="A15" s="629"/>
      <c r="B15" s="633"/>
      <c r="C15" s="637"/>
      <c r="D15" s="635"/>
      <c r="E15" s="630"/>
    </row>
    <row r="16" spans="1:5">
      <c r="A16" s="629"/>
      <c r="B16" s="633"/>
      <c r="C16" s="637"/>
      <c r="D16" s="635"/>
      <c r="E16" s="630"/>
    </row>
    <row r="17" spans="1:5">
      <c r="A17" s="629"/>
      <c r="B17" s="633"/>
      <c r="C17" s="637"/>
      <c r="D17" s="635"/>
      <c r="E17" s="630"/>
    </row>
    <row r="18" spans="1:5">
      <c r="A18" s="629"/>
      <c r="B18" s="633"/>
      <c r="C18" s="637"/>
      <c r="D18" s="635"/>
      <c r="E18" s="630"/>
    </row>
    <row r="19" spans="1:5">
      <c r="A19" s="629"/>
      <c r="B19" s="633"/>
      <c r="C19" s="637"/>
      <c r="D19" s="635"/>
      <c r="E19" s="630"/>
    </row>
    <row r="20" spans="1:5">
      <c r="A20" s="629"/>
      <c r="B20" s="633"/>
      <c r="C20" s="637"/>
      <c r="D20" s="635"/>
      <c r="E20" s="630"/>
    </row>
    <row r="21" spans="1:5">
      <c r="A21" s="629"/>
      <c r="B21" s="633"/>
      <c r="C21" s="637"/>
      <c r="D21" s="635"/>
      <c r="E21" s="630"/>
    </row>
    <row r="22" spans="1:5">
      <c r="A22" s="629"/>
      <c r="B22" s="633"/>
      <c r="C22" s="637"/>
      <c r="D22" s="635"/>
      <c r="E22" s="630"/>
    </row>
    <row r="23" spans="1:5">
      <c r="A23" s="629"/>
      <c r="B23" s="633"/>
      <c r="C23" s="637"/>
      <c r="D23" s="635"/>
      <c r="E23" s="630"/>
    </row>
    <row r="24" spans="1:5">
      <c r="A24" s="629"/>
      <c r="B24" s="633"/>
      <c r="C24" s="637"/>
      <c r="D24" s="635"/>
      <c r="E24" s="630"/>
    </row>
    <row r="25" spans="1:5">
      <c r="A25" s="629"/>
      <c r="B25" s="633"/>
      <c r="C25" s="637"/>
      <c r="D25" s="635"/>
      <c r="E25" s="630"/>
    </row>
    <row r="26" spans="1:5">
      <c r="A26" s="629"/>
      <c r="B26" s="633"/>
      <c r="C26" s="637"/>
      <c r="D26" s="635"/>
      <c r="E26" s="630"/>
    </row>
    <row r="27" spans="1:5">
      <c r="A27" s="629"/>
      <c r="B27" s="633"/>
      <c r="C27" s="637"/>
      <c r="D27" s="635"/>
      <c r="E27" s="630"/>
    </row>
    <row r="28" spans="1:5" ht="15.75" thickBot="1">
      <c r="A28" s="631"/>
      <c r="B28" s="634"/>
      <c r="C28" s="642"/>
      <c r="D28" s="636"/>
      <c r="E28" s="6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V60"/>
  <sheetViews>
    <sheetView workbookViewId="0">
      <selection activeCell="F20" sqref="F20"/>
    </sheetView>
  </sheetViews>
  <sheetFormatPr defaultColWidth="9.7109375" defaultRowHeight="9"/>
  <cols>
    <col min="1" max="4" width="9.7109375" style="57" customWidth="1"/>
    <col min="5" max="5" width="9.140625" style="57" customWidth="1"/>
    <col min="6" max="256" width="9.7109375" style="57"/>
    <col min="257" max="260" width="9.7109375" style="57" customWidth="1"/>
    <col min="261" max="261" width="9.140625" style="57" customWidth="1"/>
    <col min="262" max="512" width="9.7109375" style="57"/>
    <col min="513" max="516" width="9.7109375" style="57" customWidth="1"/>
    <col min="517" max="517" width="9.140625" style="57" customWidth="1"/>
    <col min="518" max="768" width="9.7109375" style="57"/>
    <col min="769" max="772" width="9.7109375" style="57" customWidth="1"/>
    <col min="773" max="773" width="9.140625" style="57" customWidth="1"/>
    <col min="774" max="1024" width="9.7109375" style="57"/>
    <col min="1025" max="1028" width="9.7109375" style="57" customWidth="1"/>
    <col min="1029" max="1029" width="9.140625" style="57" customWidth="1"/>
    <col min="1030" max="1280" width="9.7109375" style="57"/>
    <col min="1281" max="1284" width="9.7109375" style="57" customWidth="1"/>
    <col min="1285" max="1285" width="9.140625" style="57" customWidth="1"/>
    <col min="1286" max="1536" width="9.7109375" style="57"/>
    <col min="1537" max="1540" width="9.7109375" style="57" customWidth="1"/>
    <col min="1541" max="1541" width="9.140625" style="57" customWidth="1"/>
    <col min="1542" max="1792" width="9.7109375" style="57"/>
    <col min="1793" max="1796" width="9.7109375" style="57" customWidth="1"/>
    <col min="1797" max="1797" width="9.140625" style="57" customWidth="1"/>
    <col min="1798" max="2048" width="9.7109375" style="57"/>
    <col min="2049" max="2052" width="9.7109375" style="57" customWidth="1"/>
    <col min="2053" max="2053" width="9.140625" style="57" customWidth="1"/>
    <col min="2054" max="2304" width="9.7109375" style="57"/>
    <col min="2305" max="2308" width="9.7109375" style="57" customWidth="1"/>
    <col min="2309" max="2309" width="9.140625" style="57" customWidth="1"/>
    <col min="2310" max="2560" width="9.7109375" style="57"/>
    <col min="2561" max="2564" width="9.7109375" style="57" customWidth="1"/>
    <col min="2565" max="2565" width="9.140625" style="57" customWidth="1"/>
    <col min="2566" max="2816" width="9.7109375" style="57"/>
    <col min="2817" max="2820" width="9.7109375" style="57" customWidth="1"/>
    <col min="2821" max="2821" width="9.140625" style="57" customWidth="1"/>
    <col min="2822" max="3072" width="9.7109375" style="57"/>
    <col min="3073" max="3076" width="9.7109375" style="57" customWidth="1"/>
    <col min="3077" max="3077" width="9.140625" style="57" customWidth="1"/>
    <col min="3078" max="3328" width="9.7109375" style="57"/>
    <col min="3329" max="3332" width="9.7109375" style="57" customWidth="1"/>
    <col min="3333" max="3333" width="9.140625" style="57" customWidth="1"/>
    <col min="3334" max="3584" width="9.7109375" style="57"/>
    <col min="3585" max="3588" width="9.7109375" style="57" customWidth="1"/>
    <col min="3589" max="3589" width="9.140625" style="57" customWidth="1"/>
    <col min="3590" max="3840" width="9.7109375" style="57"/>
    <col min="3841" max="3844" width="9.7109375" style="57" customWidth="1"/>
    <col min="3845" max="3845" width="9.140625" style="57" customWidth="1"/>
    <col min="3846" max="4096" width="9.7109375" style="57"/>
    <col min="4097" max="4100" width="9.7109375" style="57" customWidth="1"/>
    <col min="4101" max="4101" width="9.140625" style="57" customWidth="1"/>
    <col min="4102" max="4352" width="9.7109375" style="57"/>
    <col min="4353" max="4356" width="9.7109375" style="57" customWidth="1"/>
    <col min="4357" max="4357" width="9.140625" style="57" customWidth="1"/>
    <col min="4358" max="4608" width="9.7109375" style="57"/>
    <col min="4609" max="4612" width="9.7109375" style="57" customWidth="1"/>
    <col min="4613" max="4613" width="9.140625" style="57" customWidth="1"/>
    <col min="4614" max="4864" width="9.7109375" style="57"/>
    <col min="4865" max="4868" width="9.7109375" style="57" customWidth="1"/>
    <col min="4869" max="4869" width="9.140625" style="57" customWidth="1"/>
    <col min="4870" max="5120" width="9.7109375" style="57"/>
    <col min="5121" max="5124" width="9.7109375" style="57" customWidth="1"/>
    <col min="5125" max="5125" width="9.140625" style="57" customWidth="1"/>
    <col min="5126" max="5376" width="9.7109375" style="57"/>
    <col min="5377" max="5380" width="9.7109375" style="57" customWidth="1"/>
    <col min="5381" max="5381" width="9.140625" style="57" customWidth="1"/>
    <col min="5382" max="5632" width="9.7109375" style="57"/>
    <col min="5633" max="5636" width="9.7109375" style="57" customWidth="1"/>
    <col min="5637" max="5637" width="9.140625" style="57" customWidth="1"/>
    <col min="5638" max="5888" width="9.7109375" style="57"/>
    <col min="5889" max="5892" width="9.7109375" style="57" customWidth="1"/>
    <col min="5893" max="5893" width="9.140625" style="57" customWidth="1"/>
    <col min="5894" max="6144" width="9.7109375" style="57"/>
    <col min="6145" max="6148" width="9.7109375" style="57" customWidth="1"/>
    <col min="6149" max="6149" width="9.140625" style="57" customWidth="1"/>
    <col min="6150" max="6400" width="9.7109375" style="57"/>
    <col min="6401" max="6404" width="9.7109375" style="57" customWidth="1"/>
    <col min="6405" max="6405" width="9.140625" style="57" customWidth="1"/>
    <col min="6406" max="6656" width="9.7109375" style="57"/>
    <col min="6657" max="6660" width="9.7109375" style="57" customWidth="1"/>
    <col min="6661" max="6661" width="9.140625" style="57" customWidth="1"/>
    <col min="6662" max="6912" width="9.7109375" style="57"/>
    <col min="6913" max="6916" width="9.7109375" style="57" customWidth="1"/>
    <col min="6917" max="6917" width="9.140625" style="57" customWidth="1"/>
    <col min="6918" max="7168" width="9.7109375" style="57"/>
    <col min="7169" max="7172" width="9.7109375" style="57" customWidth="1"/>
    <col min="7173" max="7173" width="9.140625" style="57" customWidth="1"/>
    <col min="7174" max="7424" width="9.7109375" style="57"/>
    <col min="7425" max="7428" width="9.7109375" style="57" customWidth="1"/>
    <col min="7429" max="7429" width="9.140625" style="57" customWidth="1"/>
    <col min="7430" max="7680" width="9.7109375" style="57"/>
    <col min="7681" max="7684" width="9.7109375" style="57" customWidth="1"/>
    <col min="7685" max="7685" width="9.140625" style="57" customWidth="1"/>
    <col min="7686" max="7936" width="9.7109375" style="57"/>
    <col min="7937" max="7940" width="9.7109375" style="57" customWidth="1"/>
    <col min="7941" max="7941" width="9.140625" style="57" customWidth="1"/>
    <col min="7942" max="8192" width="9.7109375" style="57"/>
    <col min="8193" max="8196" width="9.7109375" style="57" customWidth="1"/>
    <col min="8197" max="8197" width="9.140625" style="57" customWidth="1"/>
    <col min="8198" max="8448" width="9.7109375" style="57"/>
    <col min="8449" max="8452" width="9.7109375" style="57" customWidth="1"/>
    <col min="8453" max="8453" width="9.140625" style="57" customWidth="1"/>
    <col min="8454" max="8704" width="9.7109375" style="57"/>
    <col min="8705" max="8708" width="9.7109375" style="57" customWidth="1"/>
    <col min="8709" max="8709" width="9.140625" style="57" customWidth="1"/>
    <col min="8710" max="8960" width="9.7109375" style="57"/>
    <col min="8961" max="8964" width="9.7109375" style="57" customWidth="1"/>
    <col min="8965" max="8965" width="9.140625" style="57" customWidth="1"/>
    <col min="8966" max="9216" width="9.7109375" style="57"/>
    <col min="9217" max="9220" width="9.7109375" style="57" customWidth="1"/>
    <col min="9221" max="9221" width="9.140625" style="57" customWidth="1"/>
    <col min="9222" max="9472" width="9.7109375" style="57"/>
    <col min="9473" max="9476" width="9.7109375" style="57" customWidth="1"/>
    <col min="9477" max="9477" width="9.140625" style="57" customWidth="1"/>
    <col min="9478" max="9728" width="9.7109375" style="57"/>
    <col min="9729" max="9732" width="9.7109375" style="57" customWidth="1"/>
    <col min="9733" max="9733" width="9.140625" style="57" customWidth="1"/>
    <col min="9734" max="9984" width="9.7109375" style="57"/>
    <col min="9985" max="9988" width="9.7109375" style="57" customWidth="1"/>
    <col min="9989" max="9989" width="9.140625" style="57" customWidth="1"/>
    <col min="9990" max="10240" width="9.7109375" style="57"/>
    <col min="10241" max="10244" width="9.7109375" style="57" customWidth="1"/>
    <col min="10245" max="10245" width="9.140625" style="57" customWidth="1"/>
    <col min="10246" max="10496" width="9.7109375" style="57"/>
    <col min="10497" max="10500" width="9.7109375" style="57" customWidth="1"/>
    <col min="10501" max="10501" width="9.140625" style="57" customWidth="1"/>
    <col min="10502" max="10752" width="9.7109375" style="57"/>
    <col min="10753" max="10756" width="9.7109375" style="57" customWidth="1"/>
    <col min="10757" max="10757" width="9.140625" style="57" customWidth="1"/>
    <col min="10758" max="11008" width="9.7109375" style="57"/>
    <col min="11009" max="11012" width="9.7109375" style="57" customWidth="1"/>
    <col min="11013" max="11013" width="9.140625" style="57" customWidth="1"/>
    <col min="11014" max="11264" width="9.7109375" style="57"/>
    <col min="11265" max="11268" width="9.7109375" style="57" customWidth="1"/>
    <col min="11269" max="11269" width="9.140625" style="57" customWidth="1"/>
    <col min="11270" max="11520" width="9.7109375" style="57"/>
    <col min="11521" max="11524" width="9.7109375" style="57" customWidth="1"/>
    <col min="11525" max="11525" width="9.140625" style="57" customWidth="1"/>
    <col min="11526" max="11776" width="9.7109375" style="57"/>
    <col min="11777" max="11780" width="9.7109375" style="57" customWidth="1"/>
    <col min="11781" max="11781" width="9.140625" style="57" customWidth="1"/>
    <col min="11782" max="12032" width="9.7109375" style="57"/>
    <col min="12033" max="12036" width="9.7109375" style="57" customWidth="1"/>
    <col min="12037" max="12037" width="9.140625" style="57" customWidth="1"/>
    <col min="12038" max="12288" width="9.7109375" style="57"/>
    <col min="12289" max="12292" width="9.7109375" style="57" customWidth="1"/>
    <col min="12293" max="12293" width="9.140625" style="57" customWidth="1"/>
    <col min="12294" max="12544" width="9.7109375" style="57"/>
    <col min="12545" max="12548" width="9.7109375" style="57" customWidth="1"/>
    <col min="12549" max="12549" width="9.140625" style="57" customWidth="1"/>
    <col min="12550" max="12800" width="9.7109375" style="57"/>
    <col min="12801" max="12804" width="9.7109375" style="57" customWidth="1"/>
    <col min="12805" max="12805" width="9.140625" style="57" customWidth="1"/>
    <col min="12806" max="13056" width="9.7109375" style="57"/>
    <col min="13057" max="13060" width="9.7109375" style="57" customWidth="1"/>
    <col min="13061" max="13061" width="9.140625" style="57" customWidth="1"/>
    <col min="13062" max="13312" width="9.7109375" style="57"/>
    <col min="13313" max="13316" width="9.7109375" style="57" customWidth="1"/>
    <col min="13317" max="13317" width="9.140625" style="57" customWidth="1"/>
    <col min="13318" max="13568" width="9.7109375" style="57"/>
    <col min="13569" max="13572" width="9.7109375" style="57" customWidth="1"/>
    <col min="13573" max="13573" width="9.140625" style="57" customWidth="1"/>
    <col min="13574" max="13824" width="9.7109375" style="57"/>
    <col min="13825" max="13828" width="9.7109375" style="57" customWidth="1"/>
    <col min="13829" max="13829" width="9.140625" style="57" customWidth="1"/>
    <col min="13830" max="14080" width="9.7109375" style="57"/>
    <col min="14081" max="14084" width="9.7109375" style="57" customWidth="1"/>
    <col min="14085" max="14085" width="9.140625" style="57" customWidth="1"/>
    <col min="14086" max="14336" width="9.7109375" style="57"/>
    <col min="14337" max="14340" width="9.7109375" style="57" customWidth="1"/>
    <col min="14341" max="14341" width="9.140625" style="57" customWidth="1"/>
    <col min="14342" max="14592" width="9.7109375" style="57"/>
    <col min="14593" max="14596" width="9.7109375" style="57" customWidth="1"/>
    <col min="14597" max="14597" width="9.140625" style="57" customWidth="1"/>
    <col min="14598" max="14848" width="9.7109375" style="57"/>
    <col min="14849" max="14852" width="9.7109375" style="57" customWidth="1"/>
    <col min="14853" max="14853" width="9.140625" style="57" customWidth="1"/>
    <col min="14854" max="15104" width="9.7109375" style="57"/>
    <col min="15105" max="15108" width="9.7109375" style="57" customWidth="1"/>
    <col min="15109" max="15109" width="9.140625" style="57" customWidth="1"/>
    <col min="15110" max="15360" width="9.7109375" style="57"/>
    <col min="15361" max="15364" width="9.7109375" style="57" customWidth="1"/>
    <col min="15365" max="15365" width="9.140625" style="57" customWidth="1"/>
    <col min="15366" max="15616" width="9.7109375" style="57"/>
    <col min="15617" max="15620" width="9.7109375" style="57" customWidth="1"/>
    <col min="15621" max="15621" width="9.140625" style="57" customWidth="1"/>
    <col min="15622" max="15872" width="9.7109375" style="57"/>
    <col min="15873" max="15876" width="9.7109375" style="57" customWidth="1"/>
    <col min="15877" max="15877" width="9.140625" style="57" customWidth="1"/>
    <col min="15878" max="16128" width="9.7109375" style="57"/>
    <col min="16129" max="16132" width="9.7109375" style="57" customWidth="1"/>
    <col min="16133" max="16133" width="9.140625" style="57" customWidth="1"/>
    <col min="16134" max="16384" width="9.7109375" style="57"/>
  </cols>
  <sheetData>
    <row r="7" spans="15:22" ht="9" customHeight="1">
      <c r="O7" s="656"/>
      <c r="P7" s="656"/>
    </row>
    <row r="8" spans="15:22" ht="9" customHeight="1">
      <c r="O8" s="656" t="s">
        <v>136</v>
      </c>
      <c r="P8" s="656"/>
    </row>
    <row r="9" spans="15:22" ht="9" customHeight="1">
      <c r="O9" s="656"/>
      <c r="P9" s="656"/>
    </row>
    <row r="10" spans="15:22" ht="9" customHeight="1">
      <c r="O10" s="656"/>
      <c r="P10" s="656"/>
      <c r="U10" s="58" t="s">
        <v>137</v>
      </c>
      <c r="V10" s="59"/>
    </row>
    <row r="11" spans="15:22" ht="9" customHeight="1">
      <c r="O11" s="656"/>
      <c r="P11" s="656"/>
    </row>
    <row r="12" spans="15:22" ht="9" customHeight="1">
      <c r="O12" s="656"/>
      <c r="P12" s="656"/>
    </row>
    <row r="13" spans="15:22" ht="9" customHeight="1"/>
    <row r="14" spans="15:22" ht="9" customHeight="1">
      <c r="O14" s="58" t="s">
        <v>138</v>
      </c>
      <c r="P14" s="59"/>
      <c r="R14" s="657" t="s">
        <v>139</v>
      </c>
      <c r="S14" s="652"/>
    </row>
    <row r="15" spans="15:22" ht="9" customHeight="1">
      <c r="O15" s="58" t="s">
        <v>140</v>
      </c>
      <c r="P15" s="59"/>
      <c r="R15" s="652"/>
      <c r="S15" s="652"/>
    </row>
    <row r="16" spans="15:22" ht="9" customHeight="1">
      <c r="O16" s="58" t="s">
        <v>137</v>
      </c>
      <c r="P16" s="59"/>
    </row>
    <row r="17" spans="6:22" ht="9" customHeight="1">
      <c r="O17" s="58"/>
      <c r="P17" s="59"/>
    </row>
    <row r="18" spans="6:22" ht="9" customHeight="1">
      <c r="O18" s="58"/>
      <c r="P18" s="59"/>
    </row>
    <row r="19" spans="6:22" ht="9" customHeight="1">
      <c r="O19" s="58"/>
      <c r="P19" s="59"/>
      <c r="U19" s="58" t="s">
        <v>137</v>
      </c>
      <c r="V19" s="59"/>
    </row>
    <row r="20" spans="6:22" ht="9" customHeight="1"/>
    <row r="21" spans="6:22" ht="9" customHeight="1"/>
    <row r="22" spans="6:22" ht="9" customHeight="1">
      <c r="R22" s="58" t="s">
        <v>141</v>
      </c>
      <c r="S22" s="59"/>
    </row>
    <row r="23" spans="6:22" ht="9" customHeight="1">
      <c r="R23" s="58" t="s">
        <v>142</v>
      </c>
      <c r="S23" s="59"/>
    </row>
    <row r="24" spans="6:22" ht="9" customHeight="1">
      <c r="R24" s="58" t="s">
        <v>143</v>
      </c>
      <c r="S24" s="59"/>
    </row>
    <row r="25" spans="6:22" ht="9" customHeight="1">
      <c r="R25" s="58" t="s">
        <v>144</v>
      </c>
      <c r="S25" s="59"/>
    </row>
    <row r="26" spans="6:22" ht="9" customHeight="1">
      <c r="R26" s="58"/>
      <c r="S26" s="59"/>
    </row>
    <row r="27" spans="6:22" ht="9" customHeight="1">
      <c r="R27" s="58"/>
      <c r="S27" s="59"/>
    </row>
    <row r="28" spans="6:22" ht="9" customHeight="1">
      <c r="R28" s="60"/>
      <c r="S28" s="61"/>
    </row>
    <row r="29" spans="6:22" ht="9" customHeight="1">
      <c r="R29" s="60"/>
      <c r="S29" s="61"/>
      <c r="U29" s="58" t="s">
        <v>137</v>
      </c>
      <c r="V29" s="59"/>
    </row>
    <row r="30" spans="6:22" ht="9" customHeight="1">
      <c r="L30" s="658" t="s">
        <v>145</v>
      </c>
      <c r="M30" s="658"/>
      <c r="R30" s="60"/>
      <c r="S30" s="61"/>
    </row>
    <row r="31" spans="6:22" ht="9" customHeight="1">
      <c r="L31" s="58" t="s">
        <v>70</v>
      </c>
      <c r="M31" s="59"/>
    </row>
    <row r="32" spans="6:22" ht="9" customHeight="1">
      <c r="F32" s="657" t="s">
        <v>146</v>
      </c>
      <c r="G32" s="652"/>
      <c r="I32" s="652"/>
      <c r="J32" s="652"/>
      <c r="L32" s="58" t="s">
        <v>147</v>
      </c>
      <c r="M32" s="59"/>
    </row>
    <row r="33" spans="1:22" ht="9" customHeight="1">
      <c r="F33" s="652"/>
      <c r="G33" s="652"/>
      <c r="I33" s="652"/>
      <c r="J33" s="652"/>
    </row>
    <row r="34" spans="1:22" ht="9" customHeight="1">
      <c r="C34" s="58" t="s">
        <v>148</v>
      </c>
      <c r="D34" s="59"/>
      <c r="I34" s="652" t="s">
        <v>149</v>
      </c>
      <c r="J34" s="652"/>
    </row>
    <row r="35" spans="1:22" ht="9" customHeight="1">
      <c r="I35" s="652"/>
      <c r="J35" s="652"/>
    </row>
    <row r="36" spans="1:22" ht="9" customHeight="1">
      <c r="I36" s="652"/>
      <c r="J36" s="652"/>
    </row>
    <row r="37" spans="1:22" ht="9" customHeight="1">
      <c r="I37" s="652"/>
      <c r="J37" s="652"/>
    </row>
    <row r="38" spans="1:22" ht="9" customHeight="1">
      <c r="I38" s="652"/>
      <c r="J38" s="652"/>
      <c r="U38" s="58" t="s">
        <v>137</v>
      </c>
      <c r="V38" s="59"/>
    </row>
    <row r="39" spans="1:22" ht="9" customHeight="1"/>
    <row r="40" spans="1:22" ht="9" customHeight="1">
      <c r="F40" s="58" t="s">
        <v>141</v>
      </c>
      <c r="G40" s="59"/>
      <c r="H40" s="61"/>
      <c r="I40" s="58" t="s">
        <v>141</v>
      </c>
      <c r="J40" s="59"/>
    </row>
    <row r="41" spans="1:22" ht="9" customHeight="1">
      <c r="F41" s="58" t="s">
        <v>142</v>
      </c>
      <c r="G41" s="59"/>
      <c r="H41" s="61"/>
      <c r="I41" s="58" t="s">
        <v>142</v>
      </c>
      <c r="J41" s="59"/>
    </row>
    <row r="42" spans="1:22" ht="9" customHeight="1">
      <c r="F42" s="58" t="s">
        <v>143</v>
      </c>
      <c r="G42" s="59"/>
      <c r="H42" s="61"/>
      <c r="I42" s="58" t="s">
        <v>143</v>
      </c>
      <c r="J42" s="59"/>
    </row>
    <row r="43" spans="1:22" ht="9" customHeight="1">
      <c r="F43" s="58" t="s">
        <v>144</v>
      </c>
      <c r="G43" s="59"/>
      <c r="H43" s="61"/>
      <c r="I43" s="58" t="s">
        <v>144</v>
      </c>
      <c r="J43" s="59"/>
    </row>
    <row r="44" spans="1:22" ht="9" customHeight="1">
      <c r="F44" s="58" t="s">
        <v>150</v>
      </c>
      <c r="G44" s="59"/>
      <c r="H44" s="61"/>
      <c r="I44" s="58" t="s">
        <v>150</v>
      </c>
      <c r="J44" s="59"/>
    </row>
    <row r="45" spans="1:22" ht="9" customHeight="1">
      <c r="F45" s="58"/>
      <c r="G45" s="59"/>
      <c r="H45" s="61"/>
      <c r="I45" s="58"/>
      <c r="J45" s="59"/>
    </row>
    <row r="46" spans="1:22" ht="9" customHeight="1">
      <c r="C46" s="58" t="s">
        <v>151</v>
      </c>
      <c r="D46" s="59"/>
    </row>
    <row r="47" spans="1:22" ht="9" customHeight="1">
      <c r="U47" s="58" t="s">
        <v>137</v>
      </c>
      <c r="V47" s="59"/>
    </row>
    <row r="48" spans="1:22" ht="9" customHeight="1">
      <c r="A48" s="58" t="s">
        <v>151</v>
      </c>
      <c r="B48" s="59"/>
    </row>
    <row r="49" spans="3:22" ht="9" customHeight="1" thickBot="1"/>
    <row r="50" spans="3:22" ht="9" customHeight="1">
      <c r="C50" s="653" t="s">
        <v>152</v>
      </c>
      <c r="D50" s="653"/>
    </row>
    <row r="51" spans="3:22" ht="9" customHeight="1">
      <c r="C51" s="654"/>
      <c r="D51" s="654"/>
    </row>
    <row r="52" spans="3:22" ht="9" customHeight="1"/>
    <row r="53" spans="3:22" ht="9" customHeight="1"/>
    <row r="54" spans="3:22" ht="9" customHeight="1"/>
    <row r="55" spans="3:22" ht="9" customHeight="1" thickBot="1">
      <c r="C55" s="652"/>
      <c r="D55" s="652"/>
    </row>
    <row r="56" spans="3:22" ht="9" customHeight="1" thickBot="1">
      <c r="C56" s="655"/>
      <c r="D56" s="655"/>
      <c r="U56" s="62" t="s">
        <v>153</v>
      </c>
      <c r="V56" s="63"/>
    </row>
    <row r="57" spans="3:22" ht="9" customHeight="1" thickBot="1">
      <c r="M57" s="64"/>
      <c r="U57" s="65" t="s">
        <v>154</v>
      </c>
      <c r="V57" s="66">
        <f>SUM(A57:S57)</f>
        <v>0</v>
      </c>
    </row>
    <row r="58" spans="3:22" ht="9" customHeight="1" thickTop="1">
      <c r="F58" s="67"/>
      <c r="G58" s="68"/>
      <c r="H58" s="61"/>
      <c r="I58" s="67"/>
      <c r="J58" s="68"/>
      <c r="L58" s="69"/>
      <c r="M58" s="70"/>
      <c r="R58" s="67"/>
      <c r="S58" s="68"/>
      <c r="U58" s="71" t="s">
        <v>155</v>
      </c>
      <c r="V58" s="72"/>
    </row>
    <row r="59" spans="3:22" ht="9" customHeight="1" thickBot="1">
      <c r="F59" s="73"/>
      <c r="G59" s="74"/>
      <c r="H59" s="61"/>
      <c r="I59" s="73"/>
      <c r="J59" s="74"/>
      <c r="L59" s="67"/>
      <c r="M59" s="68"/>
      <c r="R59" s="73"/>
      <c r="S59" s="74"/>
      <c r="U59" s="65" t="s">
        <v>154</v>
      </c>
      <c r="V59" s="66">
        <f>SUM(A59:S59)</f>
        <v>0</v>
      </c>
    </row>
    <row r="60" spans="3:22" ht="9" customHeight="1" thickTop="1"/>
  </sheetData>
  <mergeCells count="10">
    <mergeCell ref="R14:S15"/>
    <mergeCell ref="L30:M30"/>
    <mergeCell ref="F32:G33"/>
    <mergeCell ref="I32:J32"/>
    <mergeCell ref="I33:J33"/>
    <mergeCell ref="I34:J38"/>
    <mergeCell ref="C50:D51"/>
    <mergeCell ref="C55:D56"/>
    <mergeCell ref="O7:P7"/>
    <mergeCell ref="O8:P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E60"/>
  <sheetViews>
    <sheetView workbookViewId="0">
      <selection activeCell="E4" sqref="E4"/>
    </sheetView>
  </sheetViews>
  <sheetFormatPr defaultColWidth="9.140625" defaultRowHeight="9" customHeight="1"/>
  <cols>
    <col min="1" max="1" width="9.140625" style="57"/>
    <col min="2" max="27" width="9.7109375" style="57" customWidth="1"/>
    <col min="30" max="31" width="9.7109375" style="57" customWidth="1"/>
    <col min="258" max="283" width="9.7109375" customWidth="1"/>
    <col min="286" max="287" width="9.7109375" customWidth="1"/>
    <col min="514" max="539" width="9.7109375" customWidth="1"/>
    <col min="542" max="543" width="9.7109375" customWidth="1"/>
    <col min="770" max="795" width="9.7109375" customWidth="1"/>
    <col min="798" max="799" width="9.7109375" customWidth="1"/>
    <col min="1026" max="1051" width="9.7109375" customWidth="1"/>
    <col min="1054" max="1055" width="9.7109375" customWidth="1"/>
    <col min="1282" max="1307" width="9.7109375" customWidth="1"/>
    <col min="1310" max="1311" width="9.7109375" customWidth="1"/>
    <col min="1538" max="1563" width="9.7109375" customWidth="1"/>
    <col min="1566" max="1567" width="9.7109375" customWidth="1"/>
    <col min="1794" max="1819" width="9.7109375" customWidth="1"/>
    <col min="1822" max="1823" width="9.7109375" customWidth="1"/>
    <col min="2050" max="2075" width="9.7109375" customWidth="1"/>
    <col min="2078" max="2079" width="9.7109375" customWidth="1"/>
    <col min="2306" max="2331" width="9.7109375" customWidth="1"/>
    <col min="2334" max="2335" width="9.7109375" customWidth="1"/>
    <col min="2562" max="2587" width="9.7109375" customWidth="1"/>
    <col min="2590" max="2591" width="9.7109375" customWidth="1"/>
    <col min="2818" max="2843" width="9.7109375" customWidth="1"/>
    <col min="2846" max="2847" width="9.7109375" customWidth="1"/>
    <col min="3074" max="3099" width="9.7109375" customWidth="1"/>
    <col min="3102" max="3103" width="9.7109375" customWidth="1"/>
    <col min="3330" max="3355" width="9.7109375" customWidth="1"/>
    <col min="3358" max="3359" width="9.7109375" customWidth="1"/>
    <col min="3586" max="3611" width="9.7109375" customWidth="1"/>
    <col min="3614" max="3615" width="9.7109375" customWidth="1"/>
    <col min="3842" max="3867" width="9.7109375" customWidth="1"/>
    <col min="3870" max="3871" width="9.7109375" customWidth="1"/>
    <col min="4098" max="4123" width="9.7109375" customWidth="1"/>
    <col min="4126" max="4127" width="9.7109375" customWidth="1"/>
    <col min="4354" max="4379" width="9.7109375" customWidth="1"/>
    <col min="4382" max="4383" width="9.7109375" customWidth="1"/>
    <col min="4610" max="4635" width="9.7109375" customWidth="1"/>
    <col min="4638" max="4639" width="9.7109375" customWidth="1"/>
    <col min="4866" max="4891" width="9.7109375" customWidth="1"/>
    <col min="4894" max="4895" width="9.7109375" customWidth="1"/>
    <col min="5122" max="5147" width="9.7109375" customWidth="1"/>
    <col min="5150" max="5151" width="9.7109375" customWidth="1"/>
    <col min="5378" max="5403" width="9.7109375" customWidth="1"/>
    <col min="5406" max="5407" width="9.7109375" customWidth="1"/>
    <col min="5634" max="5659" width="9.7109375" customWidth="1"/>
    <col min="5662" max="5663" width="9.7109375" customWidth="1"/>
    <col min="5890" max="5915" width="9.7109375" customWidth="1"/>
    <col min="5918" max="5919" width="9.7109375" customWidth="1"/>
    <col min="6146" max="6171" width="9.7109375" customWidth="1"/>
    <col min="6174" max="6175" width="9.7109375" customWidth="1"/>
    <col min="6402" max="6427" width="9.7109375" customWidth="1"/>
    <col min="6430" max="6431" width="9.7109375" customWidth="1"/>
    <col min="6658" max="6683" width="9.7109375" customWidth="1"/>
    <col min="6686" max="6687" width="9.7109375" customWidth="1"/>
    <col min="6914" max="6939" width="9.7109375" customWidth="1"/>
    <col min="6942" max="6943" width="9.7109375" customWidth="1"/>
    <col min="7170" max="7195" width="9.7109375" customWidth="1"/>
    <col min="7198" max="7199" width="9.7109375" customWidth="1"/>
    <col min="7426" max="7451" width="9.7109375" customWidth="1"/>
    <col min="7454" max="7455" width="9.7109375" customWidth="1"/>
    <col min="7682" max="7707" width="9.7109375" customWidth="1"/>
    <col min="7710" max="7711" width="9.7109375" customWidth="1"/>
    <col min="7938" max="7963" width="9.7109375" customWidth="1"/>
    <col min="7966" max="7967" width="9.7109375" customWidth="1"/>
    <col min="8194" max="8219" width="9.7109375" customWidth="1"/>
    <col min="8222" max="8223" width="9.7109375" customWidth="1"/>
    <col min="8450" max="8475" width="9.7109375" customWidth="1"/>
    <col min="8478" max="8479" width="9.7109375" customWidth="1"/>
    <col min="8706" max="8731" width="9.7109375" customWidth="1"/>
    <col min="8734" max="8735" width="9.7109375" customWidth="1"/>
    <col min="8962" max="8987" width="9.7109375" customWidth="1"/>
    <col min="8990" max="8991" width="9.7109375" customWidth="1"/>
    <col min="9218" max="9243" width="9.7109375" customWidth="1"/>
    <col min="9246" max="9247" width="9.7109375" customWidth="1"/>
    <col min="9474" max="9499" width="9.7109375" customWidth="1"/>
    <col min="9502" max="9503" width="9.7109375" customWidth="1"/>
    <col min="9730" max="9755" width="9.7109375" customWidth="1"/>
    <col min="9758" max="9759" width="9.7109375" customWidth="1"/>
    <col min="9986" max="10011" width="9.7109375" customWidth="1"/>
    <col min="10014" max="10015" width="9.7109375" customWidth="1"/>
    <col min="10242" max="10267" width="9.7109375" customWidth="1"/>
    <col min="10270" max="10271" width="9.7109375" customWidth="1"/>
    <col min="10498" max="10523" width="9.7109375" customWidth="1"/>
    <col min="10526" max="10527" width="9.7109375" customWidth="1"/>
    <col min="10754" max="10779" width="9.7109375" customWidth="1"/>
    <col min="10782" max="10783" width="9.7109375" customWidth="1"/>
    <col min="11010" max="11035" width="9.7109375" customWidth="1"/>
    <col min="11038" max="11039" width="9.7109375" customWidth="1"/>
    <col min="11266" max="11291" width="9.7109375" customWidth="1"/>
    <col min="11294" max="11295" width="9.7109375" customWidth="1"/>
    <col min="11522" max="11547" width="9.7109375" customWidth="1"/>
    <col min="11550" max="11551" width="9.7109375" customWidth="1"/>
    <col min="11778" max="11803" width="9.7109375" customWidth="1"/>
    <col min="11806" max="11807" width="9.7109375" customWidth="1"/>
    <col min="12034" max="12059" width="9.7109375" customWidth="1"/>
    <col min="12062" max="12063" width="9.7109375" customWidth="1"/>
    <col min="12290" max="12315" width="9.7109375" customWidth="1"/>
    <col min="12318" max="12319" width="9.7109375" customWidth="1"/>
    <col min="12546" max="12571" width="9.7109375" customWidth="1"/>
    <col min="12574" max="12575" width="9.7109375" customWidth="1"/>
    <col min="12802" max="12827" width="9.7109375" customWidth="1"/>
    <col min="12830" max="12831" width="9.7109375" customWidth="1"/>
    <col min="13058" max="13083" width="9.7109375" customWidth="1"/>
    <col min="13086" max="13087" width="9.7109375" customWidth="1"/>
    <col min="13314" max="13339" width="9.7109375" customWidth="1"/>
    <col min="13342" max="13343" width="9.7109375" customWidth="1"/>
    <col min="13570" max="13595" width="9.7109375" customWidth="1"/>
    <col min="13598" max="13599" width="9.7109375" customWidth="1"/>
    <col min="13826" max="13851" width="9.7109375" customWidth="1"/>
    <col min="13854" max="13855" width="9.7109375" customWidth="1"/>
    <col min="14082" max="14107" width="9.7109375" customWidth="1"/>
    <col min="14110" max="14111" width="9.7109375" customWidth="1"/>
    <col min="14338" max="14363" width="9.7109375" customWidth="1"/>
    <col min="14366" max="14367" width="9.7109375" customWidth="1"/>
    <col min="14594" max="14619" width="9.7109375" customWidth="1"/>
    <col min="14622" max="14623" width="9.7109375" customWidth="1"/>
    <col min="14850" max="14875" width="9.7109375" customWidth="1"/>
    <col min="14878" max="14879" width="9.7109375" customWidth="1"/>
    <col min="15106" max="15131" width="9.7109375" customWidth="1"/>
    <col min="15134" max="15135" width="9.7109375" customWidth="1"/>
    <col min="15362" max="15387" width="9.7109375" customWidth="1"/>
    <col min="15390" max="15391" width="9.7109375" customWidth="1"/>
    <col min="15618" max="15643" width="9.7109375" customWidth="1"/>
    <col min="15646" max="15647" width="9.7109375" customWidth="1"/>
    <col min="15874" max="15899" width="9.7109375" customWidth="1"/>
    <col min="15902" max="15903" width="9.7109375" customWidth="1"/>
    <col min="16130" max="16155" width="9.7109375" customWidth="1"/>
    <col min="16158" max="16159" width="9.7109375" customWidth="1"/>
  </cols>
  <sheetData>
    <row r="4" spans="2:31" ht="9" customHeight="1">
      <c r="I4" s="664" t="s">
        <v>156</v>
      </c>
      <c r="J4" s="664"/>
      <c r="K4" s="664"/>
      <c r="L4" s="664"/>
      <c r="M4" s="664"/>
      <c r="N4" s="664"/>
      <c r="O4" s="664"/>
      <c r="P4" s="664"/>
      <c r="Q4" s="664"/>
    </row>
    <row r="5" spans="2:31" ht="9" customHeight="1">
      <c r="I5" s="664"/>
      <c r="J5" s="664"/>
      <c r="K5" s="664"/>
      <c r="L5" s="664"/>
      <c r="M5" s="664"/>
      <c r="N5" s="664"/>
      <c r="O5" s="664"/>
      <c r="P5" s="664"/>
      <c r="Q5" s="664"/>
    </row>
    <row r="7" spans="2:31" ht="9" customHeight="1">
      <c r="AD7" s="656"/>
      <c r="AE7" s="656"/>
    </row>
    <row r="8" spans="2:31" ht="9" customHeight="1">
      <c r="AD8" s="656" t="s">
        <v>136</v>
      </c>
      <c r="AE8" s="656"/>
    </row>
    <row r="9" spans="2:31" ht="9" customHeight="1">
      <c r="AD9" s="656"/>
      <c r="AE9" s="656"/>
    </row>
    <row r="10" spans="2:31" ht="9" customHeight="1">
      <c r="B10" s="652"/>
      <c r="C10" s="652"/>
      <c r="N10" s="657" t="s">
        <v>157</v>
      </c>
      <c r="O10" s="657"/>
      <c r="AD10" s="656"/>
      <c r="AE10" s="656"/>
    </row>
    <row r="11" spans="2:31" ht="9" customHeight="1">
      <c r="B11" s="652"/>
      <c r="C11" s="652"/>
      <c r="N11" s="657"/>
      <c r="O11" s="657"/>
      <c r="AD11" s="656"/>
      <c r="AE11" s="656"/>
    </row>
    <row r="12" spans="2:31" ht="9" customHeight="1">
      <c r="B12" s="652" t="s">
        <v>158</v>
      </c>
      <c r="C12" s="652"/>
      <c r="AD12" s="656"/>
      <c r="AE12" s="656"/>
    </row>
    <row r="13" spans="2:31" ht="9" customHeight="1">
      <c r="B13" s="652"/>
      <c r="C13" s="652"/>
    </row>
    <row r="14" spans="2:31" ht="9" customHeight="1">
      <c r="B14" s="652"/>
      <c r="C14" s="652"/>
      <c r="AD14" s="58" t="s">
        <v>138</v>
      </c>
      <c r="AE14" s="59">
        <f>(8*60*60)/48</f>
        <v>600</v>
      </c>
    </row>
    <row r="15" spans="2:31" ht="9" customHeight="1">
      <c r="B15" s="652"/>
      <c r="C15" s="652"/>
      <c r="J15" s="657" t="s">
        <v>159</v>
      </c>
      <c r="K15" s="657"/>
      <c r="AD15" s="58" t="s">
        <v>140</v>
      </c>
      <c r="AE15" s="59">
        <v>48</v>
      </c>
    </row>
    <row r="16" spans="2:31" ht="9" customHeight="1">
      <c r="B16" s="652"/>
      <c r="C16" s="652"/>
      <c r="J16" s="657"/>
      <c r="K16" s="657"/>
      <c r="AD16" s="58" t="s">
        <v>137</v>
      </c>
      <c r="AE16" s="59" t="s">
        <v>160</v>
      </c>
    </row>
    <row r="17" spans="2:31" ht="9" customHeight="1">
      <c r="AD17" s="58"/>
      <c r="AE17" s="59"/>
    </row>
    <row r="18" spans="2:31" ht="9" customHeight="1">
      <c r="B18" s="58" t="s">
        <v>141</v>
      </c>
      <c r="C18" s="59">
        <v>600</v>
      </c>
      <c r="AD18" s="58"/>
      <c r="AE18" s="59"/>
    </row>
    <row r="19" spans="2:31" ht="9" customHeight="1">
      <c r="B19" s="58" t="s">
        <v>142</v>
      </c>
      <c r="C19" s="59">
        <v>0</v>
      </c>
      <c r="AD19" s="58"/>
      <c r="AE19" s="59"/>
    </row>
    <row r="20" spans="2:31" ht="9" customHeight="1">
      <c r="B20" s="58" t="s">
        <v>143</v>
      </c>
      <c r="C20" s="59">
        <v>100</v>
      </c>
      <c r="AB20" s="57"/>
      <c r="AC20" s="57"/>
    </row>
    <row r="21" spans="2:31" ht="9" customHeight="1" thickBot="1">
      <c r="B21" s="58" t="s">
        <v>144</v>
      </c>
      <c r="C21" s="59">
        <v>99.3</v>
      </c>
    </row>
    <row r="22" spans="2:31" ht="9" customHeight="1">
      <c r="B22" s="58" t="s">
        <v>150</v>
      </c>
      <c r="C22" s="59">
        <v>4</v>
      </c>
      <c r="P22" s="659" t="s">
        <v>161</v>
      </c>
      <c r="Q22" s="660"/>
      <c r="AC22" s="57"/>
    </row>
    <row r="23" spans="2:31" ht="9" customHeight="1" thickBot="1">
      <c r="B23" s="58"/>
      <c r="C23" s="59"/>
      <c r="P23" s="661"/>
      <c r="Q23" s="662"/>
      <c r="AC23" s="57"/>
    </row>
    <row r="24" spans="2:31" ht="9" customHeight="1">
      <c r="AC24" s="57"/>
    </row>
    <row r="25" spans="2:31" ht="9" customHeight="1">
      <c r="AC25" s="57"/>
    </row>
    <row r="26" spans="2:31" ht="9" customHeight="1">
      <c r="AC26" s="57"/>
    </row>
    <row r="27" spans="2:31" ht="9" customHeight="1">
      <c r="AC27" s="57"/>
    </row>
    <row r="28" spans="2:31" ht="9" customHeight="1">
      <c r="AC28" s="57"/>
    </row>
    <row r="29" spans="2:31" ht="9" customHeight="1">
      <c r="AC29" s="58" t="s">
        <v>137</v>
      </c>
      <c r="AD29" s="59" t="s">
        <v>160</v>
      </c>
    </row>
    <row r="30" spans="2:31" ht="9" customHeight="1">
      <c r="H30" s="663" t="s">
        <v>162</v>
      </c>
      <c r="I30" s="663"/>
      <c r="L30" s="663" t="s">
        <v>163</v>
      </c>
      <c r="M30" s="663"/>
      <c r="P30" s="663" t="s">
        <v>164</v>
      </c>
      <c r="Q30" s="663"/>
      <c r="T30" s="663" t="s">
        <v>165</v>
      </c>
      <c r="U30" s="663"/>
      <c r="X30" s="663" t="s">
        <v>166</v>
      </c>
      <c r="Y30" s="663"/>
      <c r="AD30"/>
    </row>
    <row r="31" spans="2:31" ht="9" customHeight="1">
      <c r="C31" s="58" t="s">
        <v>137</v>
      </c>
      <c r="D31" s="59" t="s">
        <v>160</v>
      </c>
      <c r="H31" s="58" t="s">
        <v>70</v>
      </c>
      <c r="I31" s="59"/>
      <c r="L31" s="58" t="s">
        <v>70</v>
      </c>
      <c r="M31" s="59"/>
      <c r="P31" s="58" t="s">
        <v>70</v>
      </c>
      <c r="Q31" s="59"/>
      <c r="T31" s="58" t="s">
        <v>70</v>
      </c>
      <c r="U31" s="59"/>
      <c r="X31" s="58" t="s">
        <v>70</v>
      </c>
      <c r="Y31" s="59"/>
    </row>
    <row r="32" spans="2:31" ht="9" customHeight="1">
      <c r="F32" s="657" t="s">
        <v>167</v>
      </c>
      <c r="G32" s="657"/>
      <c r="H32" s="58" t="s">
        <v>147</v>
      </c>
      <c r="I32" s="59">
        <v>6000</v>
      </c>
      <c r="J32" s="657" t="s">
        <v>168</v>
      </c>
      <c r="K32" s="657"/>
      <c r="L32" s="58" t="s">
        <v>147</v>
      </c>
      <c r="M32" s="59">
        <v>6000</v>
      </c>
      <c r="N32" s="657" t="s">
        <v>169</v>
      </c>
      <c r="O32" s="657"/>
      <c r="P32" s="58" t="s">
        <v>147</v>
      </c>
      <c r="Q32" s="59">
        <v>6000</v>
      </c>
      <c r="R32" s="657" t="s">
        <v>170</v>
      </c>
      <c r="S32" s="657"/>
      <c r="T32" s="58" t="s">
        <v>147</v>
      </c>
      <c r="U32" s="59">
        <v>6000</v>
      </c>
      <c r="V32" s="657" t="s">
        <v>167</v>
      </c>
      <c r="W32" s="657"/>
      <c r="X32" s="58" t="s">
        <v>147</v>
      </c>
      <c r="Y32" s="59">
        <v>6000</v>
      </c>
      <c r="Z32" s="657" t="s">
        <v>171</v>
      </c>
      <c r="AA32" s="657"/>
      <c r="AC32" s="57"/>
    </row>
    <row r="33" spans="4:30" ht="9" customHeight="1">
      <c r="F33" s="657"/>
      <c r="G33" s="657"/>
      <c r="J33" s="657"/>
      <c r="K33" s="657"/>
      <c r="N33" s="657"/>
      <c r="O33" s="657"/>
      <c r="R33" s="657"/>
      <c r="S33" s="657"/>
      <c r="V33" s="657"/>
      <c r="W33" s="657"/>
      <c r="Z33" s="657"/>
      <c r="AA33" s="657"/>
      <c r="AC33" s="57"/>
    </row>
    <row r="34" spans="4:30" ht="9" customHeight="1">
      <c r="AC34" s="57"/>
    </row>
    <row r="35" spans="4:30" ht="9" customHeight="1">
      <c r="AC35" s="57"/>
    </row>
    <row r="36" spans="4:30" ht="9" customHeight="1">
      <c r="D36" s="658" t="s">
        <v>172</v>
      </c>
      <c r="E36" s="658"/>
      <c r="AC36" s="57"/>
    </row>
    <row r="37" spans="4:30" ht="9" customHeight="1">
      <c r="D37" s="58" t="s">
        <v>70</v>
      </c>
      <c r="E37" s="59"/>
      <c r="AC37" s="58" t="s">
        <v>137</v>
      </c>
      <c r="AD37" s="59" t="s">
        <v>160</v>
      </c>
    </row>
    <row r="38" spans="4:30" ht="9" customHeight="1">
      <c r="D38" s="58" t="s">
        <v>147</v>
      </c>
      <c r="E38" s="59">
        <v>6000</v>
      </c>
    </row>
    <row r="39" spans="4:30" ht="9" customHeight="1">
      <c r="AC39" s="57"/>
    </row>
    <row r="40" spans="4:30" ht="9" customHeight="1">
      <c r="F40" s="58" t="s">
        <v>141</v>
      </c>
      <c r="G40" s="59">
        <v>600</v>
      </c>
      <c r="J40" s="58" t="s">
        <v>141</v>
      </c>
      <c r="K40" s="59">
        <v>600</v>
      </c>
      <c r="N40" s="58" t="s">
        <v>141</v>
      </c>
      <c r="O40" s="59">
        <v>600</v>
      </c>
      <c r="R40" s="58" t="s">
        <v>141</v>
      </c>
      <c r="S40" s="59">
        <v>900</v>
      </c>
      <c r="V40" s="58" t="s">
        <v>141</v>
      </c>
      <c r="W40" s="59">
        <v>300</v>
      </c>
      <c r="Z40" s="58" t="s">
        <v>141</v>
      </c>
      <c r="AA40" s="59">
        <v>600</v>
      </c>
    </row>
    <row r="41" spans="4:30" ht="9" customHeight="1">
      <c r="F41" s="58" t="s">
        <v>142</v>
      </c>
      <c r="G41" s="59">
        <v>0</v>
      </c>
      <c r="J41" s="58" t="s">
        <v>142</v>
      </c>
      <c r="K41" s="59">
        <v>0</v>
      </c>
      <c r="N41" s="58" t="s">
        <v>142</v>
      </c>
      <c r="O41" s="59">
        <v>0</v>
      </c>
      <c r="R41" s="58" t="s">
        <v>142</v>
      </c>
      <c r="S41" s="59">
        <v>60</v>
      </c>
      <c r="V41" s="58" t="s">
        <v>142</v>
      </c>
      <c r="W41" s="59">
        <v>0</v>
      </c>
      <c r="Z41" s="58" t="s">
        <v>142</v>
      </c>
      <c r="AA41" s="59">
        <v>0</v>
      </c>
    </row>
    <row r="42" spans="4:30" ht="9" customHeight="1">
      <c r="F42" s="58" t="s">
        <v>143</v>
      </c>
      <c r="G42" s="59">
        <v>100</v>
      </c>
      <c r="J42" s="58" t="s">
        <v>143</v>
      </c>
      <c r="K42" s="59">
        <v>100</v>
      </c>
      <c r="N42" s="58" t="s">
        <v>143</v>
      </c>
      <c r="O42" s="59">
        <v>100</v>
      </c>
      <c r="R42" s="58" t="s">
        <v>143</v>
      </c>
      <c r="S42" s="59">
        <v>80</v>
      </c>
      <c r="V42" s="58" t="s">
        <v>143</v>
      </c>
      <c r="W42" s="59">
        <v>100</v>
      </c>
      <c r="Z42" s="58" t="s">
        <v>143</v>
      </c>
      <c r="AA42" s="59">
        <v>100</v>
      </c>
    </row>
    <row r="43" spans="4:30" ht="9" customHeight="1">
      <c r="F43" s="58" t="s">
        <v>144</v>
      </c>
      <c r="G43" s="59">
        <v>100</v>
      </c>
      <c r="J43" s="58" t="s">
        <v>144</v>
      </c>
      <c r="K43" s="59">
        <v>90</v>
      </c>
      <c r="N43" s="58" t="s">
        <v>144</v>
      </c>
      <c r="O43" s="59">
        <v>90</v>
      </c>
      <c r="R43" s="58" t="s">
        <v>144</v>
      </c>
      <c r="S43" s="59">
        <v>90</v>
      </c>
      <c r="V43" s="58" t="s">
        <v>144</v>
      </c>
      <c r="W43" s="59">
        <v>100</v>
      </c>
      <c r="Z43" s="58" t="s">
        <v>144</v>
      </c>
      <c r="AA43" s="59">
        <v>100</v>
      </c>
    </row>
    <row r="44" spans="4:30" ht="9" customHeight="1">
      <c r="F44" s="58" t="s">
        <v>150</v>
      </c>
      <c r="G44" s="59">
        <v>1</v>
      </c>
      <c r="J44" s="58" t="s">
        <v>150</v>
      </c>
      <c r="K44" s="59">
        <v>1</v>
      </c>
      <c r="N44" s="58" t="s">
        <v>150</v>
      </c>
      <c r="O44" s="59">
        <v>1</v>
      </c>
      <c r="R44" s="58" t="s">
        <v>150</v>
      </c>
      <c r="S44" s="59">
        <v>1</v>
      </c>
      <c r="V44" s="58" t="s">
        <v>150</v>
      </c>
      <c r="W44" s="59">
        <v>1</v>
      </c>
      <c r="Z44" s="58" t="s">
        <v>150</v>
      </c>
      <c r="AA44" s="59">
        <v>1</v>
      </c>
    </row>
    <row r="45" spans="4:30" ht="9" customHeight="1">
      <c r="F45" s="58"/>
      <c r="G45" s="59"/>
      <c r="J45" s="58"/>
      <c r="K45" s="59"/>
      <c r="N45" s="58"/>
      <c r="O45" s="59"/>
      <c r="R45" s="58"/>
      <c r="S45" s="59"/>
      <c r="V45" s="58"/>
      <c r="W45" s="59"/>
      <c r="Z45" s="58"/>
      <c r="AA45" s="59"/>
    </row>
    <row r="55" spans="2:31" ht="9" customHeight="1" thickBot="1"/>
    <row r="56" spans="2:31" ht="9" customHeight="1">
      <c r="AD56" s="62" t="s">
        <v>153</v>
      </c>
      <c r="AE56" s="63"/>
    </row>
    <row r="57" spans="2:31" ht="9" customHeight="1" thickBot="1">
      <c r="E57" s="64">
        <f>E38</f>
        <v>6000</v>
      </c>
      <c r="I57" s="64">
        <f>I32</f>
        <v>6000</v>
      </c>
      <c r="M57" s="64">
        <f>M32</f>
        <v>6000</v>
      </c>
      <c r="Q57" s="64">
        <f>Q32</f>
        <v>6000</v>
      </c>
      <c r="U57" s="64">
        <f>U32</f>
        <v>6000</v>
      </c>
      <c r="Y57" s="64">
        <f>Y32</f>
        <v>6000</v>
      </c>
      <c r="AB57" s="57"/>
      <c r="AC57" s="64">
        <v>6000</v>
      </c>
      <c r="AD57" s="65" t="s">
        <v>154</v>
      </c>
      <c r="AE57" s="66">
        <f>SUM(A57:AC57)</f>
        <v>42000</v>
      </c>
    </row>
    <row r="58" spans="2:31" ht="9" customHeight="1" thickTop="1">
      <c r="B58" s="67"/>
      <c r="C58" s="68"/>
      <c r="D58" s="69"/>
      <c r="E58" s="70"/>
      <c r="F58" s="67"/>
      <c r="G58" s="68"/>
      <c r="H58" s="69"/>
      <c r="I58" s="70"/>
      <c r="J58" s="67"/>
      <c r="K58" s="68"/>
      <c r="L58" s="69"/>
      <c r="M58" s="70"/>
      <c r="N58" s="67"/>
      <c r="O58" s="68"/>
      <c r="P58" s="69"/>
      <c r="Q58" s="70"/>
      <c r="R58" s="67"/>
      <c r="S58" s="68"/>
      <c r="T58" s="69"/>
      <c r="U58" s="70"/>
      <c r="V58" s="67"/>
      <c r="W58" s="68"/>
      <c r="X58" s="69"/>
      <c r="Y58" s="70"/>
      <c r="Z58" s="67"/>
      <c r="AA58" s="68"/>
      <c r="AB58" s="69"/>
      <c r="AC58" s="70"/>
      <c r="AD58" s="71" t="s">
        <v>155</v>
      </c>
      <c r="AE58" s="72"/>
    </row>
    <row r="59" spans="2:31" ht="9" customHeight="1" thickBot="1">
      <c r="B59" s="73"/>
      <c r="C59" s="74">
        <f>C18</f>
        <v>600</v>
      </c>
      <c r="D59" s="67"/>
      <c r="E59" s="68"/>
      <c r="F59" s="73"/>
      <c r="G59" s="74">
        <f>G40</f>
        <v>600</v>
      </c>
      <c r="H59" s="67"/>
      <c r="I59" s="68"/>
      <c r="J59" s="73"/>
      <c r="K59" s="74">
        <f>K40</f>
        <v>600</v>
      </c>
      <c r="L59" s="67"/>
      <c r="M59" s="68"/>
      <c r="N59" s="73"/>
      <c r="O59" s="74">
        <f>O40</f>
        <v>600</v>
      </c>
      <c r="P59" s="67"/>
      <c r="Q59" s="68"/>
      <c r="R59" s="73"/>
      <c r="S59" s="74">
        <f>S40</f>
        <v>900</v>
      </c>
      <c r="T59" s="67"/>
      <c r="U59" s="68"/>
      <c r="V59" s="73"/>
      <c r="W59" s="74">
        <f>W40</f>
        <v>300</v>
      </c>
      <c r="X59" s="67"/>
      <c r="Y59" s="68"/>
      <c r="Z59" s="73"/>
      <c r="AA59" s="74">
        <f>AA40</f>
        <v>600</v>
      </c>
      <c r="AB59" s="67"/>
      <c r="AC59" s="68"/>
      <c r="AD59" s="65" t="s">
        <v>154</v>
      </c>
      <c r="AE59" s="66">
        <f>SUM(A59:AC59)</f>
        <v>4200</v>
      </c>
    </row>
    <row r="60" spans="2:31" ht="9" customHeight="1" thickTop="1"/>
  </sheetData>
  <mergeCells count="21">
    <mergeCell ref="I4:Q5"/>
    <mergeCell ref="AD7:AE7"/>
    <mergeCell ref="AD8:AE12"/>
    <mergeCell ref="B10:C10"/>
    <mergeCell ref="N10:O11"/>
    <mergeCell ref="B11:C11"/>
    <mergeCell ref="B12:C16"/>
    <mergeCell ref="J15:K16"/>
    <mergeCell ref="V32:W33"/>
    <mergeCell ref="Z32:AA33"/>
    <mergeCell ref="P22:Q23"/>
    <mergeCell ref="H30:I30"/>
    <mergeCell ref="L30:M30"/>
    <mergeCell ref="P30:Q30"/>
    <mergeCell ref="T30:U30"/>
    <mergeCell ref="X30:Y30"/>
    <mergeCell ref="D36:E36"/>
    <mergeCell ref="F32:G33"/>
    <mergeCell ref="J32:K33"/>
    <mergeCell ref="N32:O33"/>
    <mergeCell ref="R32:S3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8" workbookViewId="0">
      <selection activeCell="C29" sqref="C29"/>
    </sheetView>
  </sheetViews>
  <sheetFormatPr defaultRowHeight="15"/>
  <cols>
    <col min="1" max="1" width="43.28515625" bestFit="1" customWidth="1"/>
    <col min="2" max="2" width="15.140625" bestFit="1" customWidth="1"/>
    <col min="3" max="3" width="20.42578125" bestFit="1" customWidth="1"/>
    <col min="4" max="4" width="30.28515625" customWidth="1"/>
  </cols>
  <sheetData>
    <row r="1" spans="1:9" ht="24" customHeight="1" thickBot="1">
      <c r="A1" s="12"/>
      <c r="B1" s="13" t="s">
        <v>69</v>
      </c>
      <c r="C1" s="13" t="s">
        <v>70</v>
      </c>
      <c r="D1" s="13"/>
      <c r="E1" s="13"/>
      <c r="F1" s="13"/>
      <c r="G1" s="13"/>
      <c r="H1" s="13"/>
      <c r="I1" s="14"/>
    </row>
    <row r="2" spans="1:9">
      <c r="A2" s="24" t="s">
        <v>67</v>
      </c>
      <c r="B2" s="25" t="s">
        <v>71</v>
      </c>
      <c r="C2" s="25">
        <v>5</v>
      </c>
      <c r="D2" s="26"/>
      <c r="E2" s="15"/>
      <c r="F2" s="15"/>
      <c r="G2" s="15"/>
      <c r="H2" s="15"/>
      <c r="I2" s="16"/>
    </row>
    <row r="3" spans="1:9">
      <c r="A3" s="27" t="s">
        <v>68</v>
      </c>
      <c r="B3" s="22" t="s">
        <v>72</v>
      </c>
      <c r="C3" s="22">
        <v>16</v>
      </c>
      <c r="D3" s="28"/>
      <c r="E3" s="15"/>
      <c r="F3" s="15"/>
      <c r="G3" s="15"/>
      <c r="H3" s="15"/>
      <c r="I3" s="16"/>
    </row>
    <row r="4" spans="1:9" s="1" customFormat="1" ht="27.75" customHeight="1">
      <c r="A4" s="3" t="s">
        <v>66</v>
      </c>
      <c r="B4" s="2" t="s">
        <v>73</v>
      </c>
      <c r="C4" s="2">
        <f>C2*C3*60</f>
        <v>4800</v>
      </c>
      <c r="D4" s="4" t="s">
        <v>74</v>
      </c>
      <c r="E4" s="21"/>
      <c r="F4" s="21"/>
      <c r="G4" s="21"/>
      <c r="H4" s="21"/>
      <c r="I4" s="17"/>
    </row>
    <row r="5" spans="1:9" s="1" customFormat="1" ht="33.75" customHeight="1">
      <c r="A5" s="3" t="s">
        <v>75</v>
      </c>
      <c r="B5" s="2" t="s">
        <v>76</v>
      </c>
      <c r="C5" s="33">
        <v>0.8</v>
      </c>
      <c r="D5" s="4" t="s">
        <v>77</v>
      </c>
      <c r="E5" s="21"/>
      <c r="F5" s="21"/>
      <c r="G5" s="21"/>
      <c r="H5" s="21"/>
      <c r="I5" s="17"/>
    </row>
    <row r="6" spans="1:9" s="1" customFormat="1" ht="33.75" customHeight="1">
      <c r="A6" s="29" t="s">
        <v>78</v>
      </c>
      <c r="B6" s="23" t="s">
        <v>73</v>
      </c>
      <c r="C6" s="23">
        <f>C5*C4</f>
        <v>3840</v>
      </c>
      <c r="D6" s="4" t="s">
        <v>79</v>
      </c>
      <c r="E6" s="21"/>
      <c r="F6" s="21"/>
      <c r="G6" s="21"/>
      <c r="H6" s="21"/>
      <c r="I6" s="17"/>
    </row>
    <row r="7" spans="1:9" ht="29.25" customHeight="1">
      <c r="A7" s="27" t="s">
        <v>80</v>
      </c>
      <c r="B7" s="22" t="s">
        <v>73</v>
      </c>
      <c r="C7" s="22">
        <f>C6</f>
        <v>3840</v>
      </c>
      <c r="D7" s="28"/>
      <c r="E7" s="15"/>
      <c r="F7" s="15"/>
      <c r="G7" s="15"/>
      <c r="H7" s="15"/>
      <c r="I7" s="16"/>
    </row>
    <row r="8" spans="1:9">
      <c r="A8" s="27" t="s">
        <v>81</v>
      </c>
      <c r="B8" s="22" t="s">
        <v>73</v>
      </c>
      <c r="C8" s="22">
        <v>1600</v>
      </c>
      <c r="D8" s="28"/>
      <c r="E8" s="15"/>
      <c r="F8" s="15"/>
      <c r="G8" s="15"/>
      <c r="H8" s="15"/>
      <c r="I8" s="16"/>
    </row>
    <row r="9" spans="1:9">
      <c r="A9" s="27" t="s">
        <v>82</v>
      </c>
      <c r="B9" s="22" t="s">
        <v>73</v>
      </c>
      <c r="C9" s="22">
        <f>C7-C8</f>
        <v>2240</v>
      </c>
      <c r="D9" s="28"/>
      <c r="E9" s="15"/>
      <c r="F9" s="15"/>
      <c r="G9" s="15"/>
      <c r="H9" s="15"/>
      <c r="I9" s="16"/>
    </row>
    <row r="10" spans="1:9">
      <c r="A10" s="27" t="s">
        <v>83</v>
      </c>
      <c r="B10" s="22" t="s">
        <v>73</v>
      </c>
      <c r="C10" s="22">
        <f>C9*6</f>
        <v>13440</v>
      </c>
      <c r="D10" s="28" t="s">
        <v>84</v>
      </c>
      <c r="E10" s="15"/>
      <c r="F10" s="15"/>
      <c r="G10" s="15"/>
      <c r="H10" s="15"/>
      <c r="I10" s="16"/>
    </row>
    <row r="11" spans="1:9" ht="15.75" thickBot="1">
      <c r="A11" s="30" t="s">
        <v>85</v>
      </c>
      <c r="B11" s="31" t="s">
        <v>86</v>
      </c>
      <c r="C11" s="31">
        <f>C10/(24*60)</f>
        <v>9.3333333333333339</v>
      </c>
      <c r="D11" s="32" t="s">
        <v>87</v>
      </c>
      <c r="E11" s="15"/>
      <c r="F11" s="15"/>
      <c r="G11" s="15"/>
      <c r="H11" s="15"/>
      <c r="I11" s="16"/>
    </row>
    <row r="12" spans="1:9" ht="15.75" thickBot="1">
      <c r="A12" s="18"/>
      <c r="B12" s="19"/>
      <c r="C12" s="19"/>
      <c r="D12" s="19"/>
      <c r="E12" s="19"/>
      <c r="F12" s="19"/>
      <c r="G12" s="19"/>
      <c r="H12" s="19"/>
      <c r="I12" s="20"/>
    </row>
    <row r="13" spans="1:9">
      <c r="A13" s="34" t="s">
        <v>88</v>
      </c>
      <c r="C13" s="11">
        <v>0.2</v>
      </c>
    </row>
    <row r="14" spans="1:9">
      <c r="A14" s="34" t="s">
        <v>89</v>
      </c>
      <c r="C14" s="35">
        <f>C9/4800</f>
        <v>0.46666666666666667</v>
      </c>
    </row>
    <row r="15" spans="1:9">
      <c r="A15" s="34" t="s">
        <v>90</v>
      </c>
      <c r="C15" s="35">
        <f>100%- (C13+C14)</f>
        <v>0.33333333333333326</v>
      </c>
    </row>
    <row r="16" spans="1:9">
      <c r="A16" s="34" t="s">
        <v>91</v>
      </c>
      <c r="C16" s="36"/>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D38" sqref="D38"/>
    </sheetView>
  </sheetViews>
  <sheetFormatPr defaultRowHeight="15"/>
  <cols>
    <col min="1" max="1" width="28.7109375" customWidth="1"/>
    <col min="2" max="2" width="13.7109375" customWidth="1"/>
    <col min="4" max="4" width="36.5703125" bestFit="1" customWidth="1"/>
    <col min="5" max="5" width="18" bestFit="1" customWidth="1"/>
  </cols>
  <sheetData>
    <row r="1" spans="1:5">
      <c r="A1" t="s">
        <v>446</v>
      </c>
      <c r="B1" t="s">
        <v>450</v>
      </c>
      <c r="C1" t="s">
        <v>451</v>
      </c>
      <c r="D1" t="s">
        <v>581</v>
      </c>
      <c r="E1" t="s">
        <v>602</v>
      </c>
    </row>
    <row r="2" spans="1:5">
      <c r="A2" t="s">
        <v>447</v>
      </c>
      <c r="B2" t="s">
        <v>448</v>
      </c>
      <c r="C2" t="s">
        <v>500</v>
      </c>
      <c r="D2" s="613" t="s">
        <v>612</v>
      </c>
      <c r="E2" t="s">
        <v>604</v>
      </c>
    </row>
    <row r="3" spans="1:5">
      <c r="A3" t="s">
        <v>449</v>
      </c>
      <c r="B3" t="s">
        <v>452</v>
      </c>
      <c r="C3" t="s">
        <v>453</v>
      </c>
      <c r="D3" s="613" t="s">
        <v>613</v>
      </c>
      <c r="E3" t="s">
        <v>604</v>
      </c>
    </row>
    <row r="4" spans="1:5">
      <c r="A4" t="s">
        <v>454</v>
      </c>
      <c r="B4" t="s">
        <v>452</v>
      </c>
      <c r="C4" t="s">
        <v>455</v>
      </c>
      <c r="D4" s="613" t="s">
        <v>614</v>
      </c>
      <c r="E4" t="s">
        <v>604</v>
      </c>
    </row>
    <row r="5" spans="1:5">
      <c r="A5" t="s">
        <v>456</v>
      </c>
      <c r="B5" t="s">
        <v>452</v>
      </c>
      <c r="C5" t="s">
        <v>455</v>
      </c>
      <c r="D5" s="613" t="s">
        <v>615</v>
      </c>
      <c r="E5" t="s">
        <v>604</v>
      </c>
    </row>
    <row r="6" spans="1:5">
      <c r="A6" t="s">
        <v>457</v>
      </c>
      <c r="B6" t="s">
        <v>452</v>
      </c>
      <c r="C6" t="s">
        <v>455</v>
      </c>
      <c r="D6" s="612" t="s">
        <v>616</v>
      </c>
      <c r="E6" t="s">
        <v>604</v>
      </c>
    </row>
    <row r="7" spans="1:5">
      <c r="A7" t="s">
        <v>457</v>
      </c>
      <c r="B7" t="s">
        <v>448</v>
      </c>
      <c r="C7" t="s">
        <v>455</v>
      </c>
      <c r="D7" s="612" t="s">
        <v>616</v>
      </c>
      <c r="E7" t="s">
        <v>604</v>
      </c>
    </row>
    <row r="8" spans="1:5">
      <c r="A8" t="s">
        <v>458</v>
      </c>
      <c r="B8" t="s">
        <v>452</v>
      </c>
      <c r="C8" t="s">
        <v>455</v>
      </c>
      <c r="D8" s="613" t="s">
        <v>617</v>
      </c>
      <c r="E8" t="s">
        <v>604</v>
      </c>
    </row>
    <row r="9" spans="1:5">
      <c r="A9" t="s">
        <v>458</v>
      </c>
      <c r="B9" t="s">
        <v>452</v>
      </c>
      <c r="C9" t="s">
        <v>459</v>
      </c>
      <c r="D9" s="613" t="s">
        <v>617</v>
      </c>
      <c r="E9" t="s">
        <v>604</v>
      </c>
    </row>
    <row r="10" spans="1:5">
      <c r="A10" t="s">
        <v>460</v>
      </c>
      <c r="B10" t="s">
        <v>452</v>
      </c>
      <c r="C10" t="s">
        <v>455</v>
      </c>
      <c r="D10" s="613" t="s">
        <v>618</v>
      </c>
      <c r="E10" t="s">
        <v>604</v>
      </c>
    </row>
    <row r="11" spans="1:5">
      <c r="A11" t="s">
        <v>461</v>
      </c>
      <c r="B11" t="s">
        <v>452</v>
      </c>
      <c r="C11" t="s">
        <v>462</v>
      </c>
      <c r="D11" s="613" t="s">
        <v>619</v>
      </c>
      <c r="E11" t="s">
        <v>604</v>
      </c>
    </row>
    <row r="12" spans="1:5">
      <c r="A12" t="s">
        <v>463</v>
      </c>
      <c r="B12" t="s">
        <v>452</v>
      </c>
      <c r="C12" t="s">
        <v>464</v>
      </c>
      <c r="D12" s="613" t="s">
        <v>620</v>
      </c>
      <c r="E12" t="s">
        <v>604</v>
      </c>
    </row>
    <row r="13" spans="1:5">
      <c r="A13" t="s">
        <v>463</v>
      </c>
      <c r="B13" t="s">
        <v>452</v>
      </c>
      <c r="C13" t="s">
        <v>459</v>
      </c>
      <c r="D13" s="613" t="s">
        <v>620</v>
      </c>
      <c r="E13" t="s">
        <v>604</v>
      </c>
    </row>
    <row r="14" spans="1:5">
      <c r="A14" t="s">
        <v>495</v>
      </c>
      <c r="B14" t="s">
        <v>452</v>
      </c>
      <c r="C14" t="s">
        <v>464</v>
      </c>
      <c r="D14" s="613" t="s">
        <v>622</v>
      </c>
      <c r="E14" t="s">
        <v>604</v>
      </c>
    </row>
    <row r="15" spans="1:5">
      <c r="A15" t="s">
        <v>496</v>
      </c>
      <c r="B15" t="s">
        <v>452</v>
      </c>
      <c r="C15" t="s">
        <v>464</v>
      </c>
      <c r="D15" s="613" t="s">
        <v>621</v>
      </c>
      <c r="E15" t="s">
        <v>604</v>
      </c>
    </row>
    <row r="16" spans="1:5">
      <c r="A16" t="s">
        <v>465</v>
      </c>
      <c r="B16" t="s">
        <v>452</v>
      </c>
      <c r="C16" t="s">
        <v>464</v>
      </c>
      <c r="D16" s="613" t="s">
        <v>623</v>
      </c>
      <c r="E16" t="s">
        <v>604</v>
      </c>
    </row>
    <row r="17" spans="1:5">
      <c r="A17" t="s">
        <v>497</v>
      </c>
      <c r="B17" t="s">
        <v>452</v>
      </c>
      <c r="C17" t="s">
        <v>462</v>
      </c>
      <c r="D17" s="613" t="s">
        <v>624</v>
      </c>
      <c r="E17" t="s">
        <v>604</v>
      </c>
    </row>
    <row r="18" spans="1:5">
      <c r="A18" t="s">
        <v>498</v>
      </c>
      <c r="B18" t="s">
        <v>452</v>
      </c>
      <c r="C18" t="s">
        <v>462</v>
      </c>
      <c r="D18" s="613" t="s">
        <v>625</v>
      </c>
      <c r="E18" t="s">
        <v>604</v>
      </c>
    </row>
    <row r="19" spans="1:5">
      <c r="A19" t="s">
        <v>499</v>
      </c>
      <c r="B19" t="s">
        <v>452</v>
      </c>
      <c r="C19" t="s">
        <v>462</v>
      </c>
      <c r="D19" s="613" t="s">
        <v>626</v>
      </c>
      <c r="E19" t="s">
        <v>604</v>
      </c>
    </row>
    <row r="20" spans="1:5">
      <c r="A20" t="s">
        <v>579</v>
      </c>
      <c r="B20" t="s">
        <v>448</v>
      </c>
      <c r="C20" t="s">
        <v>455</v>
      </c>
      <c r="D20" s="612" t="s">
        <v>582</v>
      </c>
      <c r="E20" t="s">
        <v>603</v>
      </c>
    </row>
    <row r="21" spans="1:5">
      <c r="A21" t="s">
        <v>579</v>
      </c>
      <c r="B21" t="s">
        <v>448</v>
      </c>
      <c r="C21" t="s">
        <v>580</v>
      </c>
      <c r="D21" s="612" t="s">
        <v>582</v>
      </c>
      <c r="E21" t="s">
        <v>603</v>
      </c>
    </row>
    <row r="22" spans="1:5">
      <c r="A22" t="s">
        <v>583</v>
      </c>
      <c r="B22" t="s">
        <v>452</v>
      </c>
      <c r="C22" t="s">
        <v>453</v>
      </c>
      <c r="D22" s="612" t="s">
        <v>584</v>
      </c>
      <c r="E22" t="s">
        <v>603</v>
      </c>
    </row>
    <row r="23" spans="1:5">
      <c r="A23" t="s">
        <v>585</v>
      </c>
      <c r="B23" t="s">
        <v>452</v>
      </c>
      <c r="C23" t="s">
        <v>453</v>
      </c>
      <c r="D23" s="612" t="s">
        <v>586</v>
      </c>
      <c r="E23" t="s">
        <v>603</v>
      </c>
    </row>
    <row r="24" spans="1:5">
      <c r="A24" t="s">
        <v>587</v>
      </c>
      <c r="B24" t="s">
        <v>452</v>
      </c>
      <c r="C24" t="s">
        <v>462</v>
      </c>
      <c r="D24" s="612" t="s">
        <v>588</v>
      </c>
      <c r="E24" t="s">
        <v>603</v>
      </c>
    </row>
    <row r="25" spans="1:5">
      <c r="A25" t="s">
        <v>589</v>
      </c>
      <c r="B25" t="s">
        <v>452</v>
      </c>
      <c r="C25" t="s">
        <v>453</v>
      </c>
      <c r="D25" s="612" t="s">
        <v>590</v>
      </c>
      <c r="E25" t="s">
        <v>603</v>
      </c>
    </row>
    <row r="26" spans="1:5">
      <c r="A26" t="s">
        <v>591</v>
      </c>
      <c r="B26" t="s">
        <v>595</v>
      </c>
      <c r="C26" t="s">
        <v>595</v>
      </c>
      <c r="D26" s="612" t="s">
        <v>596</v>
      </c>
      <c r="E26" t="s">
        <v>603</v>
      </c>
    </row>
    <row r="27" spans="1:5">
      <c r="A27" t="s">
        <v>592</v>
      </c>
      <c r="B27" t="s">
        <v>595</v>
      </c>
      <c r="C27" t="s">
        <v>595</v>
      </c>
      <c r="D27" s="612" t="s">
        <v>597</v>
      </c>
      <c r="E27" t="s">
        <v>603</v>
      </c>
    </row>
    <row r="28" spans="1:5">
      <c r="A28" t="s">
        <v>593</v>
      </c>
      <c r="B28" t="s">
        <v>595</v>
      </c>
      <c r="C28" t="s">
        <v>595</v>
      </c>
      <c r="D28" s="612" t="s">
        <v>598</v>
      </c>
      <c r="E28" t="s">
        <v>603</v>
      </c>
    </row>
    <row r="29" spans="1:5">
      <c r="A29" t="s">
        <v>594</v>
      </c>
      <c r="B29" t="s">
        <v>595</v>
      </c>
      <c r="C29" t="s">
        <v>595</v>
      </c>
      <c r="D29" s="612" t="s">
        <v>599</v>
      </c>
      <c r="E29" t="s">
        <v>603</v>
      </c>
    </row>
    <row r="30" spans="1:5">
      <c r="A30" t="s">
        <v>600</v>
      </c>
      <c r="B30" t="s">
        <v>452</v>
      </c>
      <c r="C30" t="s">
        <v>455</v>
      </c>
      <c r="D30" s="612" t="s">
        <v>601</v>
      </c>
      <c r="E30" t="s">
        <v>603</v>
      </c>
    </row>
    <row r="31" spans="1:5">
      <c r="A31" t="s">
        <v>605</v>
      </c>
      <c r="B31" t="s">
        <v>452</v>
      </c>
      <c r="C31" t="s">
        <v>459</v>
      </c>
      <c r="D31" s="612" t="s">
        <v>610</v>
      </c>
      <c r="E31" t="s">
        <v>611</v>
      </c>
    </row>
    <row r="32" spans="1:5">
      <c r="A32" t="s">
        <v>606</v>
      </c>
      <c r="B32" t="s">
        <v>452</v>
      </c>
      <c r="C32" t="s">
        <v>459</v>
      </c>
      <c r="D32" s="612" t="s">
        <v>610</v>
      </c>
      <c r="E32" t="s">
        <v>611</v>
      </c>
    </row>
    <row r="33" spans="1:5">
      <c r="A33" t="s">
        <v>607</v>
      </c>
      <c r="B33" t="s">
        <v>452</v>
      </c>
      <c r="C33" t="s">
        <v>459</v>
      </c>
      <c r="D33" s="612" t="s">
        <v>610</v>
      </c>
      <c r="E33" t="s">
        <v>611</v>
      </c>
    </row>
    <row r="34" spans="1:5">
      <c r="A34" t="s">
        <v>608</v>
      </c>
      <c r="B34" t="s">
        <v>452</v>
      </c>
      <c r="C34" t="s">
        <v>459</v>
      </c>
      <c r="D34" s="612" t="s">
        <v>610</v>
      </c>
      <c r="E34" t="s">
        <v>611</v>
      </c>
    </row>
    <row r="35" spans="1:5">
      <c r="A35" t="s">
        <v>609</v>
      </c>
      <c r="B35" t="s">
        <v>452</v>
      </c>
      <c r="C35" t="s">
        <v>459</v>
      </c>
      <c r="D35" s="612" t="s">
        <v>610</v>
      </c>
      <c r="E35" t="s">
        <v>611</v>
      </c>
    </row>
    <row r="36" spans="1:5">
      <c r="A36" t="s">
        <v>632</v>
      </c>
      <c r="B36" t="s">
        <v>452</v>
      </c>
      <c r="C36" t="s">
        <v>464</v>
      </c>
      <c r="D36" s="613" t="s">
        <v>645</v>
      </c>
      <c r="E36" s="627" t="s">
        <v>604</v>
      </c>
    </row>
    <row r="37" spans="1:5">
      <c r="A37" t="s">
        <v>643</v>
      </c>
      <c r="B37" s="627" t="s">
        <v>452</v>
      </c>
      <c r="C37" t="s">
        <v>464</v>
      </c>
      <c r="D37" s="612" t="s">
        <v>646</v>
      </c>
      <c r="E37" s="627" t="s">
        <v>604</v>
      </c>
    </row>
    <row r="38" spans="1:5">
      <c r="A38" t="s">
        <v>644</v>
      </c>
      <c r="B38" s="627" t="s">
        <v>452</v>
      </c>
      <c r="C38" t="s">
        <v>464</v>
      </c>
      <c r="D38" s="613" t="s">
        <v>647</v>
      </c>
      <c r="E38" s="627" t="s">
        <v>604</v>
      </c>
    </row>
  </sheetData>
  <hyperlinks>
    <hyperlink ref="D21" r:id="rId1"/>
    <hyperlink ref="D20" r:id="rId2"/>
    <hyperlink ref="D22" r:id="rId3"/>
    <hyperlink ref="D23" r:id="rId4"/>
    <hyperlink ref="D24" r:id="rId5"/>
    <hyperlink ref="D25" r:id="rId6"/>
    <hyperlink ref="D26" r:id="rId7"/>
    <hyperlink ref="D27" r:id="rId8"/>
    <hyperlink ref="D28" r:id="rId9"/>
    <hyperlink ref="D29" r:id="rId10"/>
    <hyperlink ref="D30" r:id="rId11"/>
    <hyperlink ref="D31" r:id="rId12"/>
    <hyperlink ref="D32:D35" r:id="rId13" display="..\Aux Tools\Control Tools.zip"/>
    <hyperlink ref="D2" location="'Pugh Matrix'!A1" display="'Pugh Matrix'!A1"/>
    <hyperlink ref="D3" location="'Net Present Value'!A1" display="'Net Present Value'!A1"/>
    <hyperlink ref="D4" location="'VOC - Y Sheet'!A1" display="'VOC - Y Sheet'!A1"/>
    <hyperlink ref="D5" location="'Prioritizing Cust Req'!A1" display="'Prioritizing Cust Req'!A1"/>
    <hyperlink ref="D6" location="QFD!A1" display="QFD!A1"/>
    <hyperlink ref="D7" location="QFD!A1" display="QFD!A1"/>
    <hyperlink ref="D8" location="'RACI Matrix'!A1" display="'RACI Matrix'!A1"/>
    <hyperlink ref="D9" location="'RACI Matrix'!A1" display="'RACI Matrix'!A1"/>
    <hyperlink ref="D10" location="'Gantt Chart'!A1" display="'Gantt Chart'!A1"/>
    <hyperlink ref="D11" location="'CE Matrix'!A1" display="'CE Matrix'!A1"/>
    <hyperlink ref="D12" location="'Variables GRR'!A1" display="'Variables GRR'!A1"/>
    <hyperlink ref="D13" location="'Variables GRR'!A1" display="'Variables GRR'!A1"/>
    <hyperlink ref="D14" location="'Attribute RR'!A1" display="'Attribute RR'!A1"/>
    <hyperlink ref="D15" location="'Sample Size Calculator'!A1" display="'Sample Size Calculator'!A1"/>
    <hyperlink ref="D16" location="'DPMO-Sig Conversion'!A1" display="'DPMO-Sig Conversion'!A1"/>
    <hyperlink ref="D17" location="'Sum of Squares Analysis'!A1" display="Fishers Test'!A1"/>
    <hyperlink ref="D18" location="'Sum of Squares Table'!A1" display="'Sum of Squares Table'!A1"/>
    <hyperlink ref="D19" location="'Sum of Squares Analysis'!A1" display="'Sum of Squares Analysis'!A1"/>
    <hyperlink ref="D36" location="'Project Prioritization Matrix'!A1" display="Project Prioritization Matrix!'A1"/>
    <hyperlink ref="D37" location="SIPOC!A1" display="SIPOC!A1"/>
    <hyperlink ref="D38" location="'GRR Done'!A1" display="'GRR Done'!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sqref="A1:I1"/>
    </sheetView>
  </sheetViews>
  <sheetFormatPr defaultRowHeight="13.5"/>
  <cols>
    <col min="1" max="1" width="32.140625" style="75" customWidth="1"/>
    <col min="2" max="2" width="4.28515625" style="95" customWidth="1"/>
    <col min="3" max="3" width="16.28515625" style="95" customWidth="1"/>
    <col min="4" max="4" width="5.7109375" style="95" customWidth="1"/>
    <col min="5" max="5" width="16.28515625" style="95" customWidth="1"/>
    <col min="6" max="6" width="6.140625" style="95" customWidth="1"/>
    <col min="7" max="7" width="16.28515625" style="95" customWidth="1"/>
    <col min="8" max="8" width="7.42578125" style="95" customWidth="1"/>
    <col min="9" max="9" width="20" style="96" customWidth="1"/>
    <col min="10" max="10" width="13.42578125" style="75" customWidth="1"/>
    <col min="11" max="256" width="9.140625" style="75"/>
    <col min="257" max="257" width="32.140625" style="75" customWidth="1"/>
    <col min="258" max="258" width="4.28515625" style="75" customWidth="1"/>
    <col min="259" max="259" width="16.28515625" style="75" customWidth="1"/>
    <col min="260" max="260" width="5.7109375" style="75" customWidth="1"/>
    <col min="261" max="261" width="16.28515625" style="75" customWidth="1"/>
    <col min="262" max="262" width="6.140625" style="75" customWidth="1"/>
    <col min="263" max="263" width="16.28515625" style="75" customWidth="1"/>
    <col min="264" max="264" width="7.42578125" style="75" customWidth="1"/>
    <col min="265" max="265" width="20" style="75" customWidth="1"/>
    <col min="266" max="266" width="13.42578125" style="75" customWidth="1"/>
    <col min="267" max="512" width="9.140625" style="75"/>
    <col min="513" max="513" width="32.140625" style="75" customWidth="1"/>
    <col min="514" max="514" width="4.28515625" style="75" customWidth="1"/>
    <col min="515" max="515" width="16.28515625" style="75" customWidth="1"/>
    <col min="516" max="516" width="5.7109375" style="75" customWidth="1"/>
    <col min="517" max="517" width="16.28515625" style="75" customWidth="1"/>
    <col min="518" max="518" width="6.140625" style="75" customWidth="1"/>
    <col min="519" max="519" width="16.28515625" style="75" customWidth="1"/>
    <col min="520" max="520" width="7.42578125" style="75" customWidth="1"/>
    <col min="521" max="521" width="20" style="75" customWidth="1"/>
    <col min="522" max="522" width="13.42578125" style="75" customWidth="1"/>
    <col min="523" max="768" width="9.140625" style="75"/>
    <col min="769" max="769" width="32.140625" style="75" customWidth="1"/>
    <col min="770" max="770" width="4.28515625" style="75" customWidth="1"/>
    <col min="771" max="771" width="16.28515625" style="75" customWidth="1"/>
    <col min="772" max="772" width="5.7109375" style="75" customWidth="1"/>
    <col min="773" max="773" width="16.28515625" style="75" customWidth="1"/>
    <col min="774" max="774" width="6.140625" style="75" customWidth="1"/>
    <col min="775" max="775" width="16.28515625" style="75" customWidth="1"/>
    <col min="776" max="776" width="7.42578125" style="75" customWidth="1"/>
    <col min="777" max="777" width="20" style="75" customWidth="1"/>
    <col min="778" max="778" width="13.42578125" style="75" customWidth="1"/>
    <col min="779" max="1024" width="9.140625" style="75"/>
    <col min="1025" max="1025" width="32.140625" style="75" customWidth="1"/>
    <col min="1026" max="1026" width="4.28515625" style="75" customWidth="1"/>
    <col min="1027" max="1027" width="16.28515625" style="75" customWidth="1"/>
    <col min="1028" max="1028" width="5.7109375" style="75" customWidth="1"/>
    <col min="1029" max="1029" width="16.28515625" style="75" customWidth="1"/>
    <col min="1030" max="1030" width="6.140625" style="75" customWidth="1"/>
    <col min="1031" max="1031" width="16.28515625" style="75" customWidth="1"/>
    <col min="1032" max="1032" width="7.42578125" style="75" customWidth="1"/>
    <col min="1033" max="1033" width="20" style="75" customWidth="1"/>
    <col min="1034" max="1034" width="13.42578125" style="75" customWidth="1"/>
    <col min="1035" max="1280" width="9.140625" style="75"/>
    <col min="1281" max="1281" width="32.140625" style="75" customWidth="1"/>
    <col min="1282" max="1282" width="4.28515625" style="75" customWidth="1"/>
    <col min="1283" max="1283" width="16.28515625" style="75" customWidth="1"/>
    <col min="1284" max="1284" width="5.7109375" style="75" customWidth="1"/>
    <col min="1285" max="1285" width="16.28515625" style="75" customWidth="1"/>
    <col min="1286" max="1286" width="6.140625" style="75" customWidth="1"/>
    <col min="1287" max="1287" width="16.28515625" style="75" customWidth="1"/>
    <col min="1288" max="1288" width="7.42578125" style="75" customWidth="1"/>
    <col min="1289" max="1289" width="20" style="75" customWidth="1"/>
    <col min="1290" max="1290" width="13.42578125" style="75" customWidth="1"/>
    <col min="1291" max="1536" width="9.140625" style="75"/>
    <col min="1537" max="1537" width="32.140625" style="75" customWidth="1"/>
    <col min="1538" max="1538" width="4.28515625" style="75" customWidth="1"/>
    <col min="1539" max="1539" width="16.28515625" style="75" customWidth="1"/>
    <col min="1540" max="1540" width="5.7109375" style="75" customWidth="1"/>
    <col min="1541" max="1541" width="16.28515625" style="75" customWidth="1"/>
    <col min="1542" max="1542" width="6.140625" style="75" customWidth="1"/>
    <col min="1543" max="1543" width="16.28515625" style="75" customWidth="1"/>
    <col min="1544" max="1544" width="7.42578125" style="75" customWidth="1"/>
    <col min="1545" max="1545" width="20" style="75" customWidth="1"/>
    <col min="1546" max="1546" width="13.42578125" style="75" customWidth="1"/>
    <col min="1547" max="1792" width="9.140625" style="75"/>
    <col min="1793" max="1793" width="32.140625" style="75" customWidth="1"/>
    <col min="1794" max="1794" width="4.28515625" style="75" customWidth="1"/>
    <col min="1795" max="1795" width="16.28515625" style="75" customWidth="1"/>
    <col min="1796" max="1796" width="5.7109375" style="75" customWidth="1"/>
    <col min="1797" max="1797" width="16.28515625" style="75" customWidth="1"/>
    <col min="1798" max="1798" width="6.140625" style="75" customWidth="1"/>
    <col min="1799" max="1799" width="16.28515625" style="75" customWidth="1"/>
    <col min="1800" max="1800" width="7.42578125" style="75" customWidth="1"/>
    <col min="1801" max="1801" width="20" style="75" customWidth="1"/>
    <col min="1802" max="1802" width="13.42578125" style="75" customWidth="1"/>
    <col min="1803" max="2048" width="9.140625" style="75"/>
    <col min="2049" max="2049" width="32.140625" style="75" customWidth="1"/>
    <col min="2050" max="2050" width="4.28515625" style="75" customWidth="1"/>
    <col min="2051" max="2051" width="16.28515625" style="75" customWidth="1"/>
    <col min="2052" max="2052" width="5.7109375" style="75" customWidth="1"/>
    <col min="2053" max="2053" width="16.28515625" style="75" customWidth="1"/>
    <col min="2054" max="2054" width="6.140625" style="75" customWidth="1"/>
    <col min="2055" max="2055" width="16.28515625" style="75" customWidth="1"/>
    <col min="2056" max="2056" width="7.42578125" style="75" customWidth="1"/>
    <col min="2057" max="2057" width="20" style="75" customWidth="1"/>
    <col min="2058" max="2058" width="13.42578125" style="75" customWidth="1"/>
    <col min="2059" max="2304" width="9.140625" style="75"/>
    <col min="2305" max="2305" width="32.140625" style="75" customWidth="1"/>
    <col min="2306" max="2306" width="4.28515625" style="75" customWidth="1"/>
    <col min="2307" max="2307" width="16.28515625" style="75" customWidth="1"/>
    <col min="2308" max="2308" width="5.7109375" style="75" customWidth="1"/>
    <col min="2309" max="2309" width="16.28515625" style="75" customWidth="1"/>
    <col min="2310" max="2310" width="6.140625" style="75" customWidth="1"/>
    <col min="2311" max="2311" width="16.28515625" style="75" customWidth="1"/>
    <col min="2312" max="2312" width="7.42578125" style="75" customWidth="1"/>
    <col min="2313" max="2313" width="20" style="75" customWidth="1"/>
    <col min="2314" max="2314" width="13.42578125" style="75" customWidth="1"/>
    <col min="2315" max="2560" width="9.140625" style="75"/>
    <col min="2561" max="2561" width="32.140625" style="75" customWidth="1"/>
    <col min="2562" max="2562" width="4.28515625" style="75" customWidth="1"/>
    <col min="2563" max="2563" width="16.28515625" style="75" customWidth="1"/>
    <col min="2564" max="2564" width="5.7109375" style="75" customWidth="1"/>
    <col min="2565" max="2565" width="16.28515625" style="75" customWidth="1"/>
    <col min="2566" max="2566" width="6.140625" style="75" customWidth="1"/>
    <col min="2567" max="2567" width="16.28515625" style="75" customWidth="1"/>
    <col min="2568" max="2568" width="7.42578125" style="75" customWidth="1"/>
    <col min="2569" max="2569" width="20" style="75" customWidth="1"/>
    <col min="2570" max="2570" width="13.42578125" style="75" customWidth="1"/>
    <col min="2571" max="2816" width="9.140625" style="75"/>
    <col min="2817" max="2817" width="32.140625" style="75" customWidth="1"/>
    <col min="2818" max="2818" width="4.28515625" style="75" customWidth="1"/>
    <col min="2819" max="2819" width="16.28515625" style="75" customWidth="1"/>
    <col min="2820" max="2820" width="5.7109375" style="75" customWidth="1"/>
    <col min="2821" max="2821" width="16.28515625" style="75" customWidth="1"/>
    <col min="2822" max="2822" width="6.140625" style="75" customWidth="1"/>
    <col min="2823" max="2823" width="16.28515625" style="75" customWidth="1"/>
    <col min="2824" max="2824" width="7.42578125" style="75" customWidth="1"/>
    <col min="2825" max="2825" width="20" style="75" customWidth="1"/>
    <col min="2826" max="2826" width="13.42578125" style="75" customWidth="1"/>
    <col min="2827" max="3072" width="9.140625" style="75"/>
    <col min="3073" max="3073" width="32.140625" style="75" customWidth="1"/>
    <col min="3074" max="3074" width="4.28515625" style="75" customWidth="1"/>
    <col min="3075" max="3075" width="16.28515625" style="75" customWidth="1"/>
    <col min="3076" max="3076" width="5.7109375" style="75" customWidth="1"/>
    <col min="3077" max="3077" width="16.28515625" style="75" customWidth="1"/>
    <col min="3078" max="3078" width="6.140625" style="75" customWidth="1"/>
    <col min="3079" max="3079" width="16.28515625" style="75" customWidth="1"/>
    <col min="3080" max="3080" width="7.42578125" style="75" customWidth="1"/>
    <col min="3081" max="3081" width="20" style="75" customWidth="1"/>
    <col min="3082" max="3082" width="13.42578125" style="75" customWidth="1"/>
    <col min="3083" max="3328" width="9.140625" style="75"/>
    <col min="3329" max="3329" width="32.140625" style="75" customWidth="1"/>
    <col min="3330" max="3330" width="4.28515625" style="75" customWidth="1"/>
    <col min="3331" max="3331" width="16.28515625" style="75" customWidth="1"/>
    <col min="3332" max="3332" width="5.7109375" style="75" customWidth="1"/>
    <col min="3333" max="3333" width="16.28515625" style="75" customWidth="1"/>
    <col min="3334" max="3334" width="6.140625" style="75" customWidth="1"/>
    <col min="3335" max="3335" width="16.28515625" style="75" customWidth="1"/>
    <col min="3336" max="3336" width="7.42578125" style="75" customWidth="1"/>
    <col min="3337" max="3337" width="20" style="75" customWidth="1"/>
    <col min="3338" max="3338" width="13.42578125" style="75" customWidth="1"/>
    <col min="3339" max="3584" width="9.140625" style="75"/>
    <col min="3585" max="3585" width="32.140625" style="75" customWidth="1"/>
    <col min="3586" max="3586" width="4.28515625" style="75" customWidth="1"/>
    <col min="3587" max="3587" width="16.28515625" style="75" customWidth="1"/>
    <col min="3588" max="3588" width="5.7109375" style="75" customWidth="1"/>
    <col min="3589" max="3589" width="16.28515625" style="75" customWidth="1"/>
    <col min="3590" max="3590" width="6.140625" style="75" customWidth="1"/>
    <col min="3591" max="3591" width="16.28515625" style="75" customWidth="1"/>
    <col min="3592" max="3592" width="7.42578125" style="75" customWidth="1"/>
    <col min="3593" max="3593" width="20" style="75" customWidth="1"/>
    <col min="3594" max="3594" width="13.42578125" style="75" customWidth="1"/>
    <col min="3595" max="3840" width="9.140625" style="75"/>
    <col min="3841" max="3841" width="32.140625" style="75" customWidth="1"/>
    <col min="3842" max="3842" width="4.28515625" style="75" customWidth="1"/>
    <col min="3843" max="3843" width="16.28515625" style="75" customWidth="1"/>
    <col min="3844" max="3844" width="5.7109375" style="75" customWidth="1"/>
    <col min="3845" max="3845" width="16.28515625" style="75" customWidth="1"/>
    <col min="3846" max="3846" width="6.140625" style="75" customWidth="1"/>
    <col min="3847" max="3847" width="16.28515625" style="75" customWidth="1"/>
    <col min="3848" max="3848" width="7.42578125" style="75" customWidth="1"/>
    <col min="3849" max="3849" width="20" style="75" customWidth="1"/>
    <col min="3850" max="3850" width="13.42578125" style="75" customWidth="1"/>
    <col min="3851" max="4096" width="9.140625" style="75"/>
    <col min="4097" max="4097" width="32.140625" style="75" customWidth="1"/>
    <col min="4098" max="4098" width="4.28515625" style="75" customWidth="1"/>
    <col min="4099" max="4099" width="16.28515625" style="75" customWidth="1"/>
    <col min="4100" max="4100" width="5.7109375" style="75" customWidth="1"/>
    <col min="4101" max="4101" width="16.28515625" style="75" customWidth="1"/>
    <col min="4102" max="4102" width="6.140625" style="75" customWidth="1"/>
    <col min="4103" max="4103" width="16.28515625" style="75" customWidth="1"/>
    <col min="4104" max="4104" width="7.42578125" style="75" customWidth="1"/>
    <col min="4105" max="4105" width="20" style="75" customWidth="1"/>
    <col min="4106" max="4106" width="13.42578125" style="75" customWidth="1"/>
    <col min="4107" max="4352" width="9.140625" style="75"/>
    <col min="4353" max="4353" width="32.140625" style="75" customWidth="1"/>
    <col min="4354" max="4354" width="4.28515625" style="75" customWidth="1"/>
    <col min="4355" max="4355" width="16.28515625" style="75" customWidth="1"/>
    <col min="4356" max="4356" width="5.7109375" style="75" customWidth="1"/>
    <col min="4357" max="4357" width="16.28515625" style="75" customWidth="1"/>
    <col min="4358" max="4358" width="6.140625" style="75" customWidth="1"/>
    <col min="4359" max="4359" width="16.28515625" style="75" customWidth="1"/>
    <col min="4360" max="4360" width="7.42578125" style="75" customWidth="1"/>
    <col min="4361" max="4361" width="20" style="75" customWidth="1"/>
    <col min="4362" max="4362" width="13.42578125" style="75" customWidth="1"/>
    <col min="4363" max="4608" width="9.140625" style="75"/>
    <col min="4609" max="4609" width="32.140625" style="75" customWidth="1"/>
    <col min="4610" max="4610" width="4.28515625" style="75" customWidth="1"/>
    <col min="4611" max="4611" width="16.28515625" style="75" customWidth="1"/>
    <col min="4612" max="4612" width="5.7109375" style="75" customWidth="1"/>
    <col min="4613" max="4613" width="16.28515625" style="75" customWidth="1"/>
    <col min="4614" max="4614" width="6.140625" style="75" customWidth="1"/>
    <col min="4615" max="4615" width="16.28515625" style="75" customWidth="1"/>
    <col min="4616" max="4616" width="7.42578125" style="75" customWidth="1"/>
    <col min="4617" max="4617" width="20" style="75" customWidth="1"/>
    <col min="4618" max="4618" width="13.42578125" style="75" customWidth="1"/>
    <col min="4619" max="4864" width="9.140625" style="75"/>
    <col min="4865" max="4865" width="32.140625" style="75" customWidth="1"/>
    <col min="4866" max="4866" width="4.28515625" style="75" customWidth="1"/>
    <col min="4867" max="4867" width="16.28515625" style="75" customWidth="1"/>
    <col min="4868" max="4868" width="5.7109375" style="75" customWidth="1"/>
    <col min="4869" max="4869" width="16.28515625" style="75" customWidth="1"/>
    <col min="4870" max="4870" width="6.140625" style="75" customWidth="1"/>
    <col min="4871" max="4871" width="16.28515625" style="75" customWidth="1"/>
    <col min="4872" max="4872" width="7.42578125" style="75" customWidth="1"/>
    <col min="4873" max="4873" width="20" style="75" customWidth="1"/>
    <col min="4874" max="4874" width="13.42578125" style="75" customWidth="1"/>
    <col min="4875" max="5120" width="9.140625" style="75"/>
    <col min="5121" max="5121" width="32.140625" style="75" customWidth="1"/>
    <col min="5122" max="5122" width="4.28515625" style="75" customWidth="1"/>
    <col min="5123" max="5123" width="16.28515625" style="75" customWidth="1"/>
    <col min="5124" max="5124" width="5.7109375" style="75" customWidth="1"/>
    <col min="5125" max="5125" width="16.28515625" style="75" customWidth="1"/>
    <col min="5126" max="5126" width="6.140625" style="75" customWidth="1"/>
    <col min="5127" max="5127" width="16.28515625" style="75" customWidth="1"/>
    <col min="5128" max="5128" width="7.42578125" style="75" customWidth="1"/>
    <col min="5129" max="5129" width="20" style="75" customWidth="1"/>
    <col min="5130" max="5130" width="13.42578125" style="75" customWidth="1"/>
    <col min="5131" max="5376" width="9.140625" style="75"/>
    <col min="5377" max="5377" width="32.140625" style="75" customWidth="1"/>
    <col min="5378" max="5378" width="4.28515625" style="75" customWidth="1"/>
    <col min="5379" max="5379" width="16.28515625" style="75" customWidth="1"/>
    <col min="5380" max="5380" width="5.7109375" style="75" customWidth="1"/>
    <col min="5381" max="5381" width="16.28515625" style="75" customWidth="1"/>
    <col min="5382" max="5382" width="6.140625" style="75" customWidth="1"/>
    <col min="5383" max="5383" width="16.28515625" style="75" customWidth="1"/>
    <col min="5384" max="5384" width="7.42578125" style="75" customWidth="1"/>
    <col min="5385" max="5385" width="20" style="75" customWidth="1"/>
    <col min="5386" max="5386" width="13.42578125" style="75" customWidth="1"/>
    <col min="5387" max="5632" width="9.140625" style="75"/>
    <col min="5633" max="5633" width="32.140625" style="75" customWidth="1"/>
    <col min="5634" max="5634" width="4.28515625" style="75" customWidth="1"/>
    <col min="5635" max="5635" width="16.28515625" style="75" customWidth="1"/>
    <col min="5636" max="5636" width="5.7109375" style="75" customWidth="1"/>
    <col min="5637" max="5637" width="16.28515625" style="75" customWidth="1"/>
    <col min="5638" max="5638" width="6.140625" style="75" customWidth="1"/>
    <col min="5639" max="5639" width="16.28515625" style="75" customWidth="1"/>
    <col min="5640" max="5640" width="7.42578125" style="75" customWidth="1"/>
    <col min="5641" max="5641" width="20" style="75" customWidth="1"/>
    <col min="5642" max="5642" width="13.42578125" style="75" customWidth="1"/>
    <col min="5643" max="5888" width="9.140625" style="75"/>
    <col min="5889" max="5889" width="32.140625" style="75" customWidth="1"/>
    <col min="5890" max="5890" width="4.28515625" style="75" customWidth="1"/>
    <col min="5891" max="5891" width="16.28515625" style="75" customWidth="1"/>
    <col min="5892" max="5892" width="5.7109375" style="75" customWidth="1"/>
    <col min="5893" max="5893" width="16.28515625" style="75" customWidth="1"/>
    <col min="5894" max="5894" width="6.140625" style="75" customWidth="1"/>
    <col min="5895" max="5895" width="16.28515625" style="75" customWidth="1"/>
    <col min="5896" max="5896" width="7.42578125" style="75" customWidth="1"/>
    <col min="5897" max="5897" width="20" style="75" customWidth="1"/>
    <col min="5898" max="5898" width="13.42578125" style="75" customWidth="1"/>
    <col min="5899" max="6144" width="9.140625" style="75"/>
    <col min="6145" max="6145" width="32.140625" style="75" customWidth="1"/>
    <col min="6146" max="6146" width="4.28515625" style="75" customWidth="1"/>
    <col min="6147" max="6147" width="16.28515625" style="75" customWidth="1"/>
    <col min="6148" max="6148" width="5.7109375" style="75" customWidth="1"/>
    <col min="6149" max="6149" width="16.28515625" style="75" customWidth="1"/>
    <col min="6150" max="6150" width="6.140625" style="75" customWidth="1"/>
    <col min="6151" max="6151" width="16.28515625" style="75" customWidth="1"/>
    <col min="6152" max="6152" width="7.42578125" style="75" customWidth="1"/>
    <col min="6153" max="6153" width="20" style="75" customWidth="1"/>
    <col min="6154" max="6154" width="13.42578125" style="75" customWidth="1"/>
    <col min="6155" max="6400" width="9.140625" style="75"/>
    <col min="6401" max="6401" width="32.140625" style="75" customWidth="1"/>
    <col min="6402" max="6402" width="4.28515625" style="75" customWidth="1"/>
    <col min="6403" max="6403" width="16.28515625" style="75" customWidth="1"/>
    <col min="6404" max="6404" width="5.7109375" style="75" customWidth="1"/>
    <col min="6405" max="6405" width="16.28515625" style="75" customWidth="1"/>
    <col min="6406" max="6406" width="6.140625" style="75" customWidth="1"/>
    <col min="6407" max="6407" width="16.28515625" style="75" customWidth="1"/>
    <col min="6408" max="6408" width="7.42578125" style="75" customWidth="1"/>
    <col min="6409" max="6409" width="20" style="75" customWidth="1"/>
    <col min="6410" max="6410" width="13.42578125" style="75" customWidth="1"/>
    <col min="6411" max="6656" width="9.140625" style="75"/>
    <col min="6657" max="6657" width="32.140625" style="75" customWidth="1"/>
    <col min="6658" max="6658" width="4.28515625" style="75" customWidth="1"/>
    <col min="6659" max="6659" width="16.28515625" style="75" customWidth="1"/>
    <col min="6660" max="6660" width="5.7109375" style="75" customWidth="1"/>
    <col min="6661" max="6661" width="16.28515625" style="75" customWidth="1"/>
    <col min="6662" max="6662" width="6.140625" style="75" customWidth="1"/>
    <col min="6663" max="6663" width="16.28515625" style="75" customWidth="1"/>
    <col min="6664" max="6664" width="7.42578125" style="75" customWidth="1"/>
    <col min="6665" max="6665" width="20" style="75" customWidth="1"/>
    <col min="6666" max="6666" width="13.42578125" style="75" customWidth="1"/>
    <col min="6667" max="6912" width="9.140625" style="75"/>
    <col min="6913" max="6913" width="32.140625" style="75" customWidth="1"/>
    <col min="6914" max="6914" width="4.28515625" style="75" customWidth="1"/>
    <col min="6915" max="6915" width="16.28515625" style="75" customWidth="1"/>
    <col min="6916" max="6916" width="5.7109375" style="75" customWidth="1"/>
    <col min="6917" max="6917" width="16.28515625" style="75" customWidth="1"/>
    <col min="6918" max="6918" width="6.140625" style="75" customWidth="1"/>
    <col min="6919" max="6919" width="16.28515625" style="75" customWidth="1"/>
    <col min="6920" max="6920" width="7.42578125" style="75" customWidth="1"/>
    <col min="6921" max="6921" width="20" style="75" customWidth="1"/>
    <col min="6922" max="6922" width="13.42578125" style="75" customWidth="1"/>
    <col min="6923" max="7168" width="9.140625" style="75"/>
    <col min="7169" max="7169" width="32.140625" style="75" customWidth="1"/>
    <col min="7170" max="7170" width="4.28515625" style="75" customWidth="1"/>
    <col min="7171" max="7171" width="16.28515625" style="75" customWidth="1"/>
    <col min="7172" max="7172" width="5.7109375" style="75" customWidth="1"/>
    <col min="7173" max="7173" width="16.28515625" style="75" customWidth="1"/>
    <col min="7174" max="7174" width="6.140625" style="75" customWidth="1"/>
    <col min="7175" max="7175" width="16.28515625" style="75" customWidth="1"/>
    <col min="7176" max="7176" width="7.42578125" style="75" customWidth="1"/>
    <col min="7177" max="7177" width="20" style="75" customWidth="1"/>
    <col min="7178" max="7178" width="13.42578125" style="75" customWidth="1"/>
    <col min="7179" max="7424" width="9.140625" style="75"/>
    <col min="7425" max="7425" width="32.140625" style="75" customWidth="1"/>
    <col min="7426" max="7426" width="4.28515625" style="75" customWidth="1"/>
    <col min="7427" max="7427" width="16.28515625" style="75" customWidth="1"/>
    <col min="7428" max="7428" width="5.7109375" style="75" customWidth="1"/>
    <col min="7429" max="7429" width="16.28515625" style="75" customWidth="1"/>
    <col min="7430" max="7430" width="6.140625" style="75" customWidth="1"/>
    <col min="7431" max="7431" width="16.28515625" style="75" customWidth="1"/>
    <col min="7432" max="7432" width="7.42578125" style="75" customWidth="1"/>
    <col min="7433" max="7433" width="20" style="75" customWidth="1"/>
    <col min="7434" max="7434" width="13.42578125" style="75" customWidth="1"/>
    <col min="7435" max="7680" width="9.140625" style="75"/>
    <col min="7681" max="7681" width="32.140625" style="75" customWidth="1"/>
    <col min="7682" max="7682" width="4.28515625" style="75" customWidth="1"/>
    <col min="7683" max="7683" width="16.28515625" style="75" customWidth="1"/>
    <col min="7684" max="7684" width="5.7109375" style="75" customWidth="1"/>
    <col min="7685" max="7685" width="16.28515625" style="75" customWidth="1"/>
    <col min="7686" max="7686" width="6.140625" style="75" customWidth="1"/>
    <col min="7687" max="7687" width="16.28515625" style="75" customWidth="1"/>
    <col min="7688" max="7688" width="7.42578125" style="75" customWidth="1"/>
    <col min="7689" max="7689" width="20" style="75" customWidth="1"/>
    <col min="7690" max="7690" width="13.42578125" style="75" customWidth="1"/>
    <col min="7691" max="7936" width="9.140625" style="75"/>
    <col min="7937" max="7937" width="32.140625" style="75" customWidth="1"/>
    <col min="7938" max="7938" width="4.28515625" style="75" customWidth="1"/>
    <col min="7939" max="7939" width="16.28515625" style="75" customWidth="1"/>
    <col min="7940" max="7940" width="5.7109375" style="75" customWidth="1"/>
    <col min="7941" max="7941" width="16.28515625" style="75" customWidth="1"/>
    <col min="7942" max="7942" width="6.140625" style="75" customWidth="1"/>
    <col min="7943" max="7943" width="16.28515625" style="75" customWidth="1"/>
    <col min="7944" max="7944" width="7.42578125" style="75" customWidth="1"/>
    <col min="7945" max="7945" width="20" style="75" customWidth="1"/>
    <col min="7946" max="7946" width="13.42578125" style="75" customWidth="1"/>
    <col min="7947" max="8192" width="9.140625" style="75"/>
    <col min="8193" max="8193" width="32.140625" style="75" customWidth="1"/>
    <col min="8194" max="8194" width="4.28515625" style="75" customWidth="1"/>
    <col min="8195" max="8195" width="16.28515625" style="75" customWidth="1"/>
    <col min="8196" max="8196" width="5.7109375" style="75" customWidth="1"/>
    <col min="8197" max="8197" width="16.28515625" style="75" customWidth="1"/>
    <col min="8198" max="8198" width="6.140625" style="75" customWidth="1"/>
    <col min="8199" max="8199" width="16.28515625" style="75" customWidth="1"/>
    <col min="8200" max="8200" width="7.42578125" style="75" customWidth="1"/>
    <col min="8201" max="8201" width="20" style="75" customWidth="1"/>
    <col min="8202" max="8202" width="13.42578125" style="75" customWidth="1"/>
    <col min="8203" max="8448" width="9.140625" style="75"/>
    <col min="8449" max="8449" width="32.140625" style="75" customWidth="1"/>
    <col min="8450" max="8450" width="4.28515625" style="75" customWidth="1"/>
    <col min="8451" max="8451" width="16.28515625" style="75" customWidth="1"/>
    <col min="8452" max="8452" width="5.7109375" style="75" customWidth="1"/>
    <col min="8453" max="8453" width="16.28515625" style="75" customWidth="1"/>
    <col min="8454" max="8454" width="6.140625" style="75" customWidth="1"/>
    <col min="8455" max="8455" width="16.28515625" style="75" customWidth="1"/>
    <col min="8456" max="8456" width="7.42578125" style="75" customWidth="1"/>
    <col min="8457" max="8457" width="20" style="75" customWidth="1"/>
    <col min="8458" max="8458" width="13.42578125" style="75" customWidth="1"/>
    <col min="8459" max="8704" width="9.140625" style="75"/>
    <col min="8705" max="8705" width="32.140625" style="75" customWidth="1"/>
    <col min="8706" max="8706" width="4.28515625" style="75" customWidth="1"/>
    <col min="8707" max="8707" width="16.28515625" style="75" customWidth="1"/>
    <col min="8708" max="8708" width="5.7109375" style="75" customWidth="1"/>
    <col min="8709" max="8709" width="16.28515625" style="75" customWidth="1"/>
    <col min="8710" max="8710" width="6.140625" style="75" customWidth="1"/>
    <col min="8711" max="8711" width="16.28515625" style="75" customWidth="1"/>
    <col min="8712" max="8712" width="7.42578125" style="75" customWidth="1"/>
    <col min="8713" max="8713" width="20" style="75" customWidth="1"/>
    <col min="8714" max="8714" width="13.42578125" style="75" customWidth="1"/>
    <col min="8715" max="8960" width="9.140625" style="75"/>
    <col min="8961" max="8961" width="32.140625" style="75" customWidth="1"/>
    <col min="8962" max="8962" width="4.28515625" style="75" customWidth="1"/>
    <col min="8963" max="8963" width="16.28515625" style="75" customWidth="1"/>
    <col min="8964" max="8964" width="5.7109375" style="75" customWidth="1"/>
    <col min="8965" max="8965" width="16.28515625" style="75" customWidth="1"/>
    <col min="8966" max="8966" width="6.140625" style="75" customWidth="1"/>
    <col min="8967" max="8967" width="16.28515625" style="75" customWidth="1"/>
    <col min="8968" max="8968" width="7.42578125" style="75" customWidth="1"/>
    <col min="8969" max="8969" width="20" style="75" customWidth="1"/>
    <col min="8970" max="8970" width="13.42578125" style="75" customWidth="1"/>
    <col min="8971" max="9216" width="9.140625" style="75"/>
    <col min="9217" max="9217" width="32.140625" style="75" customWidth="1"/>
    <col min="9218" max="9218" width="4.28515625" style="75" customWidth="1"/>
    <col min="9219" max="9219" width="16.28515625" style="75" customWidth="1"/>
    <col min="9220" max="9220" width="5.7109375" style="75" customWidth="1"/>
    <col min="9221" max="9221" width="16.28515625" style="75" customWidth="1"/>
    <col min="9222" max="9222" width="6.140625" style="75" customWidth="1"/>
    <col min="9223" max="9223" width="16.28515625" style="75" customWidth="1"/>
    <col min="9224" max="9224" width="7.42578125" style="75" customWidth="1"/>
    <col min="9225" max="9225" width="20" style="75" customWidth="1"/>
    <col min="9226" max="9226" width="13.42578125" style="75" customWidth="1"/>
    <col min="9227" max="9472" width="9.140625" style="75"/>
    <col min="9473" max="9473" width="32.140625" style="75" customWidth="1"/>
    <col min="9474" max="9474" width="4.28515625" style="75" customWidth="1"/>
    <col min="9475" max="9475" width="16.28515625" style="75" customWidth="1"/>
    <col min="9476" max="9476" width="5.7109375" style="75" customWidth="1"/>
    <col min="9477" max="9477" width="16.28515625" style="75" customWidth="1"/>
    <col min="9478" max="9478" width="6.140625" style="75" customWidth="1"/>
    <col min="9479" max="9479" width="16.28515625" style="75" customWidth="1"/>
    <col min="9480" max="9480" width="7.42578125" style="75" customWidth="1"/>
    <col min="9481" max="9481" width="20" style="75" customWidth="1"/>
    <col min="9482" max="9482" width="13.42578125" style="75" customWidth="1"/>
    <col min="9483" max="9728" width="9.140625" style="75"/>
    <col min="9729" max="9729" width="32.140625" style="75" customWidth="1"/>
    <col min="9730" max="9730" width="4.28515625" style="75" customWidth="1"/>
    <col min="9731" max="9731" width="16.28515625" style="75" customWidth="1"/>
    <col min="9732" max="9732" width="5.7109375" style="75" customWidth="1"/>
    <col min="9733" max="9733" width="16.28515625" style="75" customWidth="1"/>
    <col min="9734" max="9734" width="6.140625" style="75" customWidth="1"/>
    <col min="9735" max="9735" width="16.28515625" style="75" customWidth="1"/>
    <col min="9736" max="9736" width="7.42578125" style="75" customWidth="1"/>
    <col min="9737" max="9737" width="20" style="75" customWidth="1"/>
    <col min="9738" max="9738" width="13.42578125" style="75" customWidth="1"/>
    <col min="9739" max="9984" width="9.140625" style="75"/>
    <col min="9985" max="9985" width="32.140625" style="75" customWidth="1"/>
    <col min="9986" max="9986" width="4.28515625" style="75" customWidth="1"/>
    <col min="9987" max="9987" width="16.28515625" style="75" customWidth="1"/>
    <col min="9988" max="9988" width="5.7109375" style="75" customWidth="1"/>
    <col min="9989" max="9989" width="16.28515625" style="75" customWidth="1"/>
    <col min="9990" max="9990" width="6.140625" style="75" customWidth="1"/>
    <col min="9991" max="9991" width="16.28515625" style="75" customWidth="1"/>
    <col min="9992" max="9992" width="7.42578125" style="75" customWidth="1"/>
    <col min="9993" max="9993" width="20" style="75" customWidth="1"/>
    <col min="9994" max="9994" width="13.42578125" style="75" customWidth="1"/>
    <col min="9995" max="10240" width="9.140625" style="75"/>
    <col min="10241" max="10241" width="32.140625" style="75" customWidth="1"/>
    <col min="10242" max="10242" width="4.28515625" style="75" customWidth="1"/>
    <col min="10243" max="10243" width="16.28515625" style="75" customWidth="1"/>
    <col min="10244" max="10244" width="5.7109375" style="75" customWidth="1"/>
    <col min="10245" max="10245" width="16.28515625" style="75" customWidth="1"/>
    <col min="10246" max="10246" width="6.140625" style="75" customWidth="1"/>
    <col min="10247" max="10247" width="16.28515625" style="75" customWidth="1"/>
    <col min="10248" max="10248" width="7.42578125" style="75" customWidth="1"/>
    <col min="10249" max="10249" width="20" style="75" customWidth="1"/>
    <col min="10250" max="10250" width="13.42578125" style="75" customWidth="1"/>
    <col min="10251" max="10496" width="9.140625" style="75"/>
    <col min="10497" max="10497" width="32.140625" style="75" customWidth="1"/>
    <col min="10498" max="10498" width="4.28515625" style="75" customWidth="1"/>
    <col min="10499" max="10499" width="16.28515625" style="75" customWidth="1"/>
    <col min="10500" max="10500" width="5.7109375" style="75" customWidth="1"/>
    <col min="10501" max="10501" width="16.28515625" style="75" customWidth="1"/>
    <col min="10502" max="10502" width="6.140625" style="75" customWidth="1"/>
    <col min="10503" max="10503" width="16.28515625" style="75" customWidth="1"/>
    <col min="10504" max="10504" width="7.42578125" style="75" customWidth="1"/>
    <col min="10505" max="10505" width="20" style="75" customWidth="1"/>
    <col min="10506" max="10506" width="13.42578125" style="75" customWidth="1"/>
    <col min="10507" max="10752" width="9.140625" style="75"/>
    <col min="10753" max="10753" width="32.140625" style="75" customWidth="1"/>
    <col min="10754" max="10754" width="4.28515625" style="75" customWidth="1"/>
    <col min="10755" max="10755" width="16.28515625" style="75" customWidth="1"/>
    <col min="10756" max="10756" width="5.7109375" style="75" customWidth="1"/>
    <col min="10757" max="10757" width="16.28515625" style="75" customWidth="1"/>
    <col min="10758" max="10758" width="6.140625" style="75" customWidth="1"/>
    <col min="10759" max="10759" width="16.28515625" style="75" customWidth="1"/>
    <col min="10760" max="10760" width="7.42578125" style="75" customWidth="1"/>
    <col min="10761" max="10761" width="20" style="75" customWidth="1"/>
    <col min="10762" max="10762" width="13.42578125" style="75" customWidth="1"/>
    <col min="10763" max="11008" width="9.140625" style="75"/>
    <col min="11009" max="11009" width="32.140625" style="75" customWidth="1"/>
    <col min="11010" max="11010" width="4.28515625" style="75" customWidth="1"/>
    <col min="11011" max="11011" width="16.28515625" style="75" customWidth="1"/>
    <col min="11012" max="11012" width="5.7109375" style="75" customWidth="1"/>
    <col min="11013" max="11013" width="16.28515625" style="75" customWidth="1"/>
    <col min="11014" max="11014" width="6.140625" style="75" customWidth="1"/>
    <col min="11015" max="11015" width="16.28515625" style="75" customWidth="1"/>
    <col min="11016" max="11016" width="7.42578125" style="75" customWidth="1"/>
    <col min="11017" max="11017" width="20" style="75" customWidth="1"/>
    <col min="11018" max="11018" width="13.42578125" style="75" customWidth="1"/>
    <col min="11019" max="11264" width="9.140625" style="75"/>
    <col min="11265" max="11265" width="32.140625" style="75" customWidth="1"/>
    <col min="11266" max="11266" width="4.28515625" style="75" customWidth="1"/>
    <col min="11267" max="11267" width="16.28515625" style="75" customWidth="1"/>
    <col min="11268" max="11268" width="5.7109375" style="75" customWidth="1"/>
    <col min="11269" max="11269" width="16.28515625" style="75" customWidth="1"/>
    <col min="11270" max="11270" width="6.140625" style="75" customWidth="1"/>
    <col min="11271" max="11271" width="16.28515625" style="75" customWidth="1"/>
    <col min="11272" max="11272" width="7.42578125" style="75" customWidth="1"/>
    <col min="11273" max="11273" width="20" style="75" customWidth="1"/>
    <col min="11274" max="11274" width="13.42578125" style="75" customWidth="1"/>
    <col min="11275" max="11520" width="9.140625" style="75"/>
    <col min="11521" max="11521" width="32.140625" style="75" customWidth="1"/>
    <col min="11522" max="11522" width="4.28515625" style="75" customWidth="1"/>
    <col min="11523" max="11523" width="16.28515625" style="75" customWidth="1"/>
    <col min="11524" max="11524" width="5.7109375" style="75" customWidth="1"/>
    <col min="11525" max="11525" width="16.28515625" style="75" customWidth="1"/>
    <col min="11526" max="11526" width="6.140625" style="75" customWidth="1"/>
    <col min="11527" max="11527" width="16.28515625" style="75" customWidth="1"/>
    <col min="11528" max="11528" width="7.42578125" style="75" customWidth="1"/>
    <col min="11529" max="11529" width="20" style="75" customWidth="1"/>
    <col min="11530" max="11530" width="13.42578125" style="75" customWidth="1"/>
    <col min="11531" max="11776" width="9.140625" style="75"/>
    <col min="11777" max="11777" width="32.140625" style="75" customWidth="1"/>
    <col min="11778" max="11778" width="4.28515625" style="75" customWidth="1"/>
    <col min="11779" max="11779" width="16.28515625" style="75" customWidth="1"/>
    <col min="11780" max="11780" width="5.7109375" style="75" customWidth="1"/>
    <col min="11781" max="11781" width="16.28515625" style="75" customWidth="1"/>
    <col min="11782" max="11782" width="6.140625" style="75" customWidth="1"/>
    <col min="11783" max="11783" width="16.28515625" style="75" customWidth="1"/>
    <col min="11784" max="11784" width="7.42578125" style="75" customWidth="1"/>
    <col min="11785" max="11785" width="20" style="75" customWidth="1"/>
    <col min="11786" max="11786" width="13.42578125" style="75" customWidth="1"/>
    <col min="11787" max="12032" width="9.140625" style="75"/>
    <col min="12033" max="12033" width="32.140625" style="75" customWidth="1"/>
    <col min="12034" max="12034" width="4.28515625" style="75" customWidth="1"/>
    <col min="12035" max="12035" width="16.28515625" style="75" customWidth="1"/>
    <col min="12036" max="12036" width="5.7109375" style="75" customWidth="1"/>
    <col min="12037" max="12037" width="16.28515625" style="75" customWidth="1"/>
    <col min="12038" max="12038" width="6.140625" style="75" customWidth="1"/>
    <col min="12039" max="12039" width="16.28515625" style="75" customWidth="1"/>
    <col min="12040" max="12040" width="7.42578125" style="75" customWidth="1"/>
    <col min="12041" max="12041" width="20" style="75" customWidth="1"/>
    <col min="12042" max="12042" width="13.42578125" style="75" customWidth="1"/>
    <col min="12043" max="12288" width="9.140625" style="75"/>
    <col min="12289" max="12289" width="32.140625" style="75" customWidth="1"/>
    <col min="12290" max="12290" width="4.28515625" style="75" customWidth="1"/>
    <col min="12291" max="12291" width="16.28515625" style="75" customWidth="1"/>
    <col min="12292" max="12292" width="5.7109375" style="75" customWidth="1"/>
    <col min="12293" max="12293" width="16.28515625" style="75" customWidth="1"/>
    <col min="12294" max="12294" width="6.140625" style="75" customWidth="1"/>
    <col min="12295" max="12295" width="16.28515625" style="75" customWidth="1"/>
    <col min="12296" max="12296" width="7.42578125" style="75" customWidth="1"/>
    <col min="12297" max="12297" width="20" style="75" customWidth="1"/>
    <col min="12298" max="12298" width="13.42578125" style="75" customWidth="1"/>
    <col min="12299" max="12544" width="9.140625" style="75"/>
    <col min="12545" max="12545" width="32.140625" style="75" customWidth="1"/>
    <col min="12546" max="12546" width="4.28515625" style="75" customWidth="1"/>
    <col min="12547" max="12547" width="16.28515625" style="75" customWidth="1"/>
    <col min="12548" max="12548" width="5.7109375" style="75" customWidth="1"/>
    <col min="12549" max="12549" width="16.28515625" style="75" customWidth="1"/>
    <col min="12550" max="12550" width="6.140625" style="75" customWidth="1"/>
    <col min="12551" max="12551" width="16.28515625" style="75" customWidth="1"/>
    <col min="12552" max="12552" width="7.42578125" style="75" customWidth="1"/>
    <col min="12553" max="12553" width="20" style="75" customWidth="1"/>
    <col min="12554" max="12554" width="13.42578125" style="75" customWidth="1"/>
    <col min="12555" max="12800" width="9.140625" style="75"/>
    <col min="12801" max="12801" width="32.140625" style="75" customWidth="1"/>
    <col min="12802" max="12802" width="4.28515625" style="75" customWidth="1"/>
    <col min="12803" max="12803" width="16.28515625" style="75" customWidth="1"/>
    <col min="12804" max="12804" width="5.7109375" style="75" customWidth="1"/>
    <col min="12805" max="12805" width="16.28515625" style="75" customWidth="1"/>
    <col min="12806" max="12806" width="6.140625" style="75" customWidth="1"/>
    <col min="12807" max="12807" width="16.28515625" style="75" customWidth="1"/>
    <col min="12808" max="12808" width="7.42578125" style="75" customWidth="1"/>
    <col min="12809" max="12809" width="20" style="75" customWidth="1"/>
    <col min="12810" max="12810" width="13.42578125" style="75" customWidth="1"/>
    <col min="12811" max="13056" width="9.140625" style="75"/>
    <col min="13057" max="13057" width="32.140625" style="75" customWidth="1"/>
    <col min="13058" max="13058" width="4.28515625" style="75" customWidth="1"/>
    <col min="13059" max="13059" width="16.28515625" style="75" customWidth="1"/>
    <col min="13060" max="13060" width="5.7109375" style="75" customWidth="1"/>
    <col min="13061" max="13061" width="16.28515625" style="75" customWidth="1"/>
    <col min="13062" max="13062" width="6.140625" style="75" customWidth="1"/>
    <col min="13063" max="13063" width="16.28515625" style="75" customWidth="1"/>
    <col min="13064" max="13064" width="7.42578125" style="75" customWidth="1"/>
    <col min="13065" max="13065" width="20" style="75" customWidth="1"/>
    <col min="13066" max="13066" width="13.42578125" style="75" customWidth="1"/>
    <col min="13067" max="13312" width="9.140625" style="75"/>
    <col min="13313" max="13313" width="32.140625" style="75" customWidth="1"/>
    <col min="13314" max="13314" width="4.28515625" style="75" customWidth="1"/>
    <col min="13315" max="13315" width="16.28515625" style="75" customWidth="1"/>
    <col min="13316" max="13316" width="5.7109375" style="75" customWidth="1"/>
    <col min="13317" max="13317" width="16.28515625" style="75" customWidth="1"/>
    <col min="13318" max="13318" width="6.140625" style="75" customWidth="1"/>
    <col min="13319" max="13319" width="16.28515625" style="75" customWidth="1"/>
    <col min="13320" max="13320" width="7.42578125" style="75" customWidth="1"/>
    <col min="13321" max="13321" width="20" style="75" customWidth="1"/>
    <col min="13322" max="13322" width="13.42578125" style="75" customWidth="1"/>
    <col min="13323" max="13568" width="9.140625" style="75"/>
    <col min="13569" max="13569" width="32.140625" style="75" customWidth="1"/>
    <col min="13570" max="13570" width="4.28515625" style="75" customWidth="1"/>
    <col min="13571" max="13571" width="16.28515625" style="75" customWidth="1"/>
    <col min="13572" max="13572" width="5.7109375" style="75" customWidth="1"/>
    <col min="13573" max="13573" width="16.28515625" style="75" customWidth="1"/>
    <col min="13574" max="13574" width="6.140625" style="75" customWidth="1"/>
    <col min="13575" max="13575" width="16.28515625" style="75" customWidth="1"/>
    <col min="13576" max="13576" width="7.42578125" style="75" customWidth="1"/>
    <col min="13577" max="13577" width="20" style="75" customWidth="1"/>
    <col min="13578" max="13578" width="13.42578125" style="75" customWidth="1"/>
    <col min="13579" max="13824" width="9.140625" style="75"/>
    <col min="13825" max="13825" width="32.140625" style="75" customWidth="1"/>
    <col min="13826" max="13826" width="4.28515625" style="75" customWidth="1"/>
    <col min="13827" max="13827" width="16.28515625" style="75" customWidth="1"/>
    <col min="13828" max="13828" width="5.7109375" style="75" customWidth="1"/>
    <col min="13829" max="13829" width="16.28515625" style="75" customWidth="1"/>
    <col min="13830" max="13830" width="6.140625" style="75" customWidth="1"/>
    <col min="13831" max="13831" width="16.28515625" style="75" customWidth="1"/>
    <col min="13832" max="13832" width="7.42578125" style="75" customWidth="1"/>
    <col min="13833" max="13833" width="20" style="75" customWidth="1"/>
    <col min="13834" max="13834" width="13.42578125" style="75" customWidth="1"/>
    <col min="13835" max="14080" width="9.140625" style="75"/>
    <col min="14081" max="14081" width="32.140625" style="75" customWidth="1"/>
    <col min="14082" max="14082" width="4.28515625" style="75" customWidth="1"/>
    <col min="14083" max="14083" width="16.28515625" style="75" customWidth="1"/>
    <col min="14084" max="14084" width="5.7109375" style="75" customWidth="1"/>
    <col min="14085" max="14085" width="16.28515625" style="75" customWidth="1"/>
    <col min="14086" max="14086" width="6.140625" style="75" customWidth="1"/>
    <col min="14087" max="14087" width="16.28515625" style="75" customWidth="1"/>
    <col min="14088" max="14088" width="7.42578125" style="75" customWidth="1"/>
    <col min="14089" max="14089" width="20" style="75" customWidth="1"/>
    <col min="14090" max="14090" width="13.42578125" style="75" customWidth="1"/>
    <col min="14091" max="14336" width="9.140625" style="75"/>
    <col min="14337" max="14337" width="32.140625" style="75" customWidth="1"/>
    <col min="14338" max="14338" width="4.28515625" style="75" customWidth="1"/>
    <col min="14339" max="14339" width="16.28515625" style="75" customWidth="1"/>
    <col min="14340" max="14340" width="5.7109375" style="75" customWidth="1"/>
    <col min="14341" max="14341" width="16.28515625" style="75" customWidth="1"/>
    <col min="14342" max="14342" width="6.140625" style="75" customWidth="1"/>
    <col min="14343" max="14343" width="16.28515625" style="75" customWidth="1"/>
    <col min="14344" max="14344" width="7.42578125" style="75" customWidth="1"/>
    <col min="14345" max="14345" width="20" style="75" customWidth="1"/>
    <col min="14346" max="14346" width="13.42578125" style="75" customWidth="1"/>
    <col min="14347" max="14592" width="9.140625" style="75"/>
    <col min="14593" max="14593" width="32.140625" style="75" customWidth="1"/>
    <col min="14594" max="14594" width="4.28515625" style="75" customWidth="1"/>
    <col min="14595" max="14595" width="16.28515625" style="75" customWidth="1"/>
    <col min="14596" max="14596" width="5.7109375" style="75" customWidth="1"/>
    <col min="14597" max="14597" width="16.28515625" style="75" customWidth="1"/>
    <col min="14598" max="14598" width="6.140625" style="75" customWidth="1"/>
    <col min="14599" max="14599" width="16.28515625" style="75" customWidth="1"/>
    <col min="14600" max="14600" width="7.42578125" style="75" customWidth="1"/>
    <col min="14601" max="14601" width="20" style="75" customWidth="1"/>
    <col min="14602" max="14602" width="13.42578125" style="75" customWidth="1"/>
    <col min="14603" max="14848" width="9.140625" style="75"/>
    <col min="14849" max="14849" width="32.140625" style="75" customWidth="1"/>
    <col min="14850" max="14850" width="4.28515625" style="75" customWidth="1"/>
    <col min="14851" max="14851" width="16.28515625" style="75" customWidth="1"/>
    <col min="14852" max="14852" width="5.7109375" style="75" customWidth="1"/>
    <col min="14853" max="14853" width="16.28515625" style="75" customWidth="1"/>
    <col min="14854" max="14854" width="6.140625" style="75" customWidth="1"/>
    <col min="14855" max="14855" width="16.28515625" style="75" customWidth="1"/>
    <col min="14856" max="14856" width="7.42578125" style="75" customWidth="1"/>
    <col min="14857" max="14857" width="20" style="75" customWidth="1"/>
    <col min="14858" max="14858" width="13.42578125" style="75" customWidth="1"/>
    <col min="14859" max="15104" width="9.140625" style="75"/>
    <col min="15105" max="15105" width="32.140625" style="75" customWidth="1"/>
    <col min="15106" max="15106" width="4.28515625" style="75" customWidth="1"/>
    <col min="15107" max="15107" width="16.28515625" style="75" customWidth="1"/>
    <col min="15108" max="15108" width="5.7109375" style="75" customWidth="1"/>
    <col min="15109" max="15109" width="16.28515625" style="75" customWidth="1"/>
    <col min="15110" max="15110" width="6.140625" style="75" customWidth="1"/>
    <col min="15111" max="15111" width="16.28515625" style="75" customWidth="1"/>
    <col min="15112" max="15112" width="7.42578125" style="75" customWidth="1"/>
    <col min="15113" max="15113" width="20" style="75" customWidth="1"/>
    <col min="15114" max="15114" width="13.42578125" style="75" customWidth="1"/>
    <col min="15115" max="15360" width="9.140625" style="75"/>
    <col min="15361" max="15361" width="32.140625" style="75" customWidth="1"/>
    <col min="15362" max="15362" width="4.28515625" style="75" customWidth="1"/>
    <col min="15363" max="15363" width="16.28515625" style="75" customWidth="1"/>
    <col min="15364" max="15364" width="5.7109375" style="75" customWidth="1"/>
    <col min="15365" max="15365" width="16.28515625" style="75" customWidth="1"/>
    <col min="15366" max="15366" width="6.140625" style="75" customWidth="1"/>
    <col min="15367" max="15367" width="16.28515625" style="75" customWidth="1"/>
    <col min="15368" max="15368" width="7.42578125" style="75" customWidth="1"/>
    <col min="15369" max="15369" width="20" style="75" customWidth="1"/>
    <col min="15370" max="15370" width="13.42578125" style="75" customWidth="1"/>
    <col min="15371" max="15616" width="9.140625" style="75"/>
    <col min="15617" max="15617" width="32.140625" style="75" customWidth="1"/>
    <col min="15618" max="15618" width="4.28515625" style="75" customWidth="1"/>
    <col min="15619" max="15619" width="16.28515625" style="75" customWidth="1"/>
    <col min="15620" max="15620" width="5.7109375" style="75" customWidth="1"/>
    <col min="15621" max="15621" width="16.28515625" style="75" customWidth="1"/>
    <col min="15622" max="15622" width="6.140625" style="75" customWidth="1"/>
    <col min="15623" max="15623" width="16.28515625" style="75" customWidth="1"/>
    <col min="15624" max="15624" width="7.42578125" style="75" customWidth="1"/>
    <col min="15625" max="15625" width="20" style="75" customWidth="1"/>
    <col min="15626" max="15626" width="13.42578125" style="75" customWidth="1"/>
    <col min="15627" max="15872" width="9.140625" style="75"/>
    <col min="15873" max="15873" width="32.140625" style="75" customWidth="1"/>
    <col min="15874" max="15874" width="4.28515625" style="75" customWidth="1"/>
    <col min="15875" max="15875" width="16.28515625" style="75" customWidth="1"/>
    <col min="15876" max="15876" width="5.7109375" style="75" customWidth="1"/>
    <col min="15877" max="15877" width="16.28515625" style="75" customWidth="1"/>
    <col min="15878" max="15878" width="6.140625" style="75" customWidth="1"/>
    <col min="15879" max="15879" width="16.28515625" style="75" customWidth="1"/>
    <col min="15880" max="15880" width="7.42578125" style="75" customWidth="1"/>
    <col min="15881" max="15881" width="20" style="75" customWidth="1"/>
    <col min="15882" max="15882" width="13.42578125" style="75" customWidth="1"/>
    <col min="15883" max="16128" width="9.140625" style="75"/>
    <col min="16129" max="16129" width="32.140625" style="75" customWidth="1"/>
    <col min="16130" max="16130" width="4.28515625" style="75" customWidth="1"/>
    <col min="16131" max="16131" width="16.28515625" style="75" customWidth="1"/>
    <col min="16132" max="16132" width="5.7109375" style="75" customWidth="1"/>
    <col min="16133" max="16133" width="16.28515625" style="75" customWidth="1"/>
    <col min="16134" max="16134" width="6.140625" style="75" customWidth="1"/>
    <col min="16135" max="16135" width="16.28515625" style="75" customWidth="1"/>
    <col min="16136" max="16136" width="7.42578125" style="75" customWidth="1"/>
    <col min="16137" max="16137" width="20" style="75" customWidth="1"/>
    <col min="16138" max="16138" width="13.42578125" style="75" customWidth="1"/>
    <col min="16139" max="16384" width="9.140625" style="75"/>
  </cols>
  <sheetData>
    <row r="1" spans="1:9" ht="21">
      <c r="A1" s="665" t="s">
        <v>173</v>
      </c>
      <c r="B1" s="665"/>
      <c r="C1" s="665"/>
      <c r="D1" s="665"/>
      <c r="E1" s="665"/>
      <c r="F1" s="665"/>
      <c r="G1" s="665"/>
      <c r="H1" s="665"/>
      <c r="I1" s="665"/>
    </row>
    <row r="2" spans="1:9" ht="20.25" thickBot="1">
      <c r="A2" s="76"/>
      <c r="B2" s="76"/>
      <c r="C2" s="76"/>
      <c r="D2" s="76"/>
      <c r="E2" s="76"/>
      <c r="F2" s="76"/>
      <c r="G2" s="76"/>
      <c r="H2" s="76"/>
      <c r="I2" s="76"/>
    </row>
    <row r="3" spans="1:9" ht="40.5" thickTop="1" thickBot="1">
      <c r="A3" s="77" t="s">
        <v>174</v>
      </c>
      <c r="B3" s="78"/>
      <c r="C3" s="78"/>
      <c r="D3" s="78"/>
      <c r="E3" s="78"/>
      <c r="F3" s="78"/>
      <c r="G3" s="78"/>
      <c r="H3" s="78"/>
      <c r="I3" s="79" t="s">
        <v>175</v>
      </c>
    </row>
    <row r="4" spans="1:9" ht="16.5">
      <c r="A4" s="80"/>
      <c r="B4" s="81"/>
      <c r="C4" s="81"/>
      <c r="D4" s="81"/>
      <c r="E4" s="81"/>
      <c r="F4" s="81"/>
      <c r="G4" s="81"/>
      <c r="H4" s="81"/>
      <c r="I4" s="82"/>
    </row>
    <row r="5" spans="1:9" ht="16.5">
      <c r="A5" s="83"/>
      <c r="B5" s="84"/>
      <c r="C5" s="84"/>
      <c r="D5" s="84"/>
      <c r="E5" s="84"/>
      <c r="F5" s="84"/>
      <c r="G5" s="84"/>
      <c r="H5" s="84"/>
      <c r="I5" s="85"/>
    </row>
    <row r="6" spans="1:9" ht="16.5">
      <c r="A6" s="83"/>
      <c r="B6" s="84"/>
      <c r="C6" s="84"/>
      <c r="D6" s="84"/>
      <c r="E6" s="84"/>
      <c r="F6" s="84"/>
      <c r="G6" s="84"/>
      <c r="H6" s="84"/>
      <c r="I6" s="85"/>
    </row>
    <row r="7" spans="1:9" ht="16.5">
      <c r="A7" s="86"/>
      <c r="B7" s="87"/>
      <c r="C7" s="87"/>
      <c r="D7" s="87"/>
      <c r="E7" s="87"/>
      <c r="F7" s="87"/>
      <c r="G7" s="87"/>
      <c r="H7" s="87"/>
      <c r="I7" s="85"/>
    </row>
    <row r="8" spans="1:9" ht="16.5">
      <c r="A8" s="83"/>
      <c r="B8" s="84"/>
      <c r="C8" s="84"/>
      <c r="D8" s="84"/>
      <c r="E8" s="84"/>
      <c r="F8" s="84"/>
      <c r="G8" s="84"/>
      <c r="H8" s="84"/>
      <c r="I8" s="85"/>
    </row>
    <row r="9" spans="1:9" ht="17.25" thickBot="1">
      <c r="A9" s="88"/>
      <c r="B9" s="89"/>
      <c r="C9" s="89"/>
      <c r="D9" s="89"/>
      <c r="E9" s="89"/>
      <c r="F9" s="89"/>
      <c r="G9" s="89"/>
      <c r="H9" s="89"/>
      <c r="I9" s="90"/>
    </row>
    <row r="10" spans="1:9" ht="16.5">
      <c r="A10" s="80" t="s">
        <v>176</v>
      </c>
      <c r="B10" s="81"/>
      <c r="C10" s="81"/>
      <c r="D10" s="81"/>
      <c r="E10" s="81"/>
      <c r="F10" s="81"/>
      <c r="G10" s="81"/>
      <c r="H10" s="81"/>
      <c r="I10" s="82"/>
    </row>
    <row r="11" spans="1:9" ht="16.5">
      <c r="A11" s="83" t="s">
        <v>177</v>
      </c>
      <c r="B11" s="84"/>
      <c r="C11" s="84"/>
      <c r="D11" s="84"/>
      <c r="E11" s="84"/>
      <c r="F11" s="84"/>
      <c r="G11" s="84"/>
      <c r="H11" s="84"/>
      <c r="I11" s="85"/>
    </row>
    <row r="12" spans="1:9" ht="17.25" thickBot="1">
      <c r="A12" s="91" t="s">
        <v>178</v>
      </c>
      <c r="B12" s="92"/>
      <c r="C12" s="92"/>
      <c r="D12" s="92"/>
      <c r="E12" s="92"/>
      <c r="F12" s="92"/>
      <c r="G12" s="92"/>
      <c r="H12" s="92"/>
      <c r="I12" s="93"/>
    </row>
    <row r="13" spans="1:9" ht="14.25" thickTop="1">
      <c r="A13" s="94"/>
    </row>
    <row r="14" spans="1:9">
      <c r="A14" s="94"/>
    </row>
    <row r="15" spans="1:9">
      <c r="A15" s="94"/>
    </row>
    <row r="16" spans="1:9">
      <c r="A16" s="94"/>
    </row>
    <row r="17" spans="1:1">
      <c r="A17" s="94"/>
    </row>
    <row r="18" spans="1:1">
      <c r="A18" s="94"/>
    </row>
    <row r="19" spans="1:1">
      <c r="A19" s="94"/>
    </row>
  </sheetData>
  <mergeCells count="1">
    <mergeCell ref="A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2" sqref="E12"/>
    </sheetView>
  </sheetViews>
  <sheetFormatPr defaultRowHeight="15"/>
  <cols>
    <col min="2" max="2" width="13.28515625" bestFit="1" customWidth="1"/>
    <col min="3" max="3" width="10.5703125" bestFit="1" customWidth="1"/>
    <col min="4" max="4" width="12.28515625" bestFit="1" customWidth="1"/>
    <col min="5" max="5" width="30.85546875" customWidth="1"/>
  </cols>
  <sheetData>
    <row r="1" spans="1:5">
      <c r="A1" s="22" t="s">
        <v>179</v>
      </c>
      <c r="B1" s="22" t="s">
        <v>180</v>
      </c>
      <c r="C1" s="22" t="s">
        <v>181</v>
      </c>
      <c r="D1" s="22" t="s">
        <v>182</v>
      </c>
      <c r="E1" s="22" t="s">
        <v>183</v>
      </c>
    </row>
    <row r="2" spans="1:5" s="1" customFormat="1" ht="39" customHeight="1">
      <c r="A2" s="2"/>
      <c r="B2" s="2"/>
      <c r="C2" s="2"/>
      <c r="D2" s="33">
        <v>0.1</v>
      </c>
      <c r="E2" s="2" t="s">
        <v>184</v>
      </c>
    </row>
    <row r="3" spans="1:5">
      <c r="A3" s="22">
        <v>0</v>
      </c>
      <c r="B3" s="98">
        <v>-7000</v>
      </c>
      <c r="C3" s="98">
        <v>0</v>
      </c>
      <c r="D3" s="98">
        <f>B3+C3</f>
        <v>-7000</v>
      </c>
      <c r="E3" s="22" t="s">
        <v>185</v>
      </c>
    </row>
    <row r="4" spans="1:5">
      <c r="A4" s="22">
        <v>1</v>
      </c>
      <c r="B4" s="98">
        <v>-1500</v>
      </c>
      <c r="C4" s="98">
        <v>500</v>
      </c>
      <c r="D4" s="98">
        <f>B4+C4</f>
        <v>-1000</v>
      </c>
      <c r="E4" s="22" t="s">
        <v>188</v>
      </c>
    </row>
    <row r="5" spans="1:5">
      <c r="A5" s="22">
        <v>2</v>
      </c>
      <c r="B5" s="98">
        <v>0</v>
      </c>
      <c r="C5" s="98">
        <v>5000</v>
      </c>
      <c r="D5" s="98">
        <f t="shared" ref="D5:D8" si="0">B5+C5</f>
        <v>5000</v>
      </c>
      <c r="E5" s="22" t="s">
        <v>188</v>
      </c>
    </row>
    <row r="6" spans="1:5">
      <c r="A6" s="22">
        <v>3</v>
      </c>
      <c r="B6" s="98">
        <v>0</v>
      </c>
      <c r="C6" s="98">
        <v>10000</v>
      </c>
      <c r="D6" s="98">
        <f t="shared" si="0"/>
        <v>10000</v>
      </c>
      <c r="E6" s="22" t="s">
        <v>188</v>
      </c>
    </row>
    <row r="7" spans="1:5">
      <c r="A7" s="22">
        <v>4</v>
      </c>
      <c r="B7" s="98">
        <v>0</v>
      </c>
      <c r="C7" s="98">
        <v>15000</v>
      </c>
      <c r="D7" s="98">
        <f t="shared" si="0"/>
        <v>15000</v>
      </c>
      <c r="E7" s="22"/>
    </row>
    <row r="8" spans="1:5">
      <c r="A8" s="22">
        <v>5</v>
      </c>
      <c r="B8" s="98">
        <v>0</v>
      </c>
      <c r="C8" s="98">
        <v>15000</v>
      </c>
      <c r="D8" s="98">
        <f t="shared" si="0"/>
        <v>15000</v>
      </c>
      <c r="E8" s="22"/>
    </row>
    <row r="9" spans="1:5">
      <c r="A9" s="22" t="s">
        <v>186</v>
      </c>
      <c r="B9" s="98">
        <f>SUM(B3:B8)</f>
        <v>-8500</v>
      </c>
      <c r="C9" s="98">
        <f>SUM(C3:C8)</f>
        <v>45500</v>
      </c>
      <c r="D9" s="98">
        <f>SUM(D3:D8)</f>
        <v>37000</v>
      </c>
      <c r="E9" s="22"/>
    </row>
    <row r="10" spans="1:5" ht="15.75" thickBot="1"/>
    <row r="11" spans="1:5" ht="15.75" thickBot="1">
      <c r="A11" s="99" t="s">
        <v>187</v>
      </c>
      <c r="B11" s="100">
        <f>NPV(10%,D3:D8)</f>
        <v>21177.554710224475</v>
      </c>
    </row>
    <row r="12" spans="1:5" ht="15.75" thickBot="1">
      <c r="A12" s="99" t="s">
        <v>189</v>
      </c>
      <c r="B12" s="101">
        <f>IRR(D3:D8,10%)</f>
        <v>0.63039020376279931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11" sqref="D11"/>
    </sheetView>
  </sheetViews>
  <sheetFormatPr defaultRowHeight="15"/>
  <cols>
    <col min="1" max="1" width="20.85546875" bestFit="1" customWidth="1"/>
    <col min="2" max="3" width="23.85546875" bestFit="1" customWidth="1"/>
    <col min="4" max="4" width="11.5703125" customWidth="1"/>
  </cols>
  <sheetData>
    <row r="1" spans="1:4">
      <c r="A1" s="102" t="s">
        <v>190</v>
      </c>
      <c r="B1" s="103" t="s">
        <v>191</v>
      </c>
      <c r="C1" s="103" t="s">
        <v>192</v>
      </c>
      <c r="D1" s="104" t="s">
        <v>193</v>
      </c>
    </row>
    <row r="2" spans="1:4">
      <c r="A2" s="27" t="s">
        <v>194</v>
      </c>
      <c r="B2" s="22" t="s">
        <v>195</v>
      </c>
      <c r="C2" s="22" t="s">
        <v>196</v>
      </c>
      <c r="D2" s="666" t="s">
        <v>197</v>
      </c>
    </row>
    <row r="3" spans="1:4">
      <c r="A3" s="27"/>
      <c r="B3" s="22"/>
      <c r="C3" s="22" t="s">
        <v>198</v>
      </c>
      <c r="D3" s="666"/>
    </row>
    <row r="4" spans="1:4">
      <c r="A4" s="27"/>
      <c r="B4" s="22"/>
      <c r="C4" s="22"/>
      <c r="D4" s="28"/>
    </row>
    <row r="5" spans="1:4" s="1" customFormat="1" ht="30">
      <c r="A5" s="3" t="s">
        <v>199</v>
      </c>
      <c r="B5" s="2" t="s">
        <v>200</v>
      </c>
      <c r="C5" s="2" t="s">
        <v>201</v>
      </c>
      <c r="D5" s="666" t="s">
        <v>202</v>
      </c>
    </row>
    <row r="6" spans="1:4">
      <c r="A6" s="27"/>
      <c r="B6" s="22"/>
      <c r="C6" s="22" t="s">
        <v>203</v>
      </c>
      <c r="D6" s="666"/>
    </row>
    <row r="7" spans="1:4">
      <c r="A7" s="27"/>
      <c r="B7" s="22"/>
      <c r="C7" s="22"/>
      <c r="D7" s="28"/>
    </row>
    <row r="8" spans="1:4" s="1" customFormat="1" ht="30">
      <c r="A8" s="3" t="s">
        <v>204</v>
      </c>
      <c r="B8" s="2" t="s">
        <v>205</v>
      </c>
      <c r="C8" s="2" t="s">
        <v>206</v>
      </c>
      <c r="D8" s="666" t="s">
        <v>204</v>
      </c>
    </row>
    <row r="9" spans="1:4" s="1" customFormat="1" ht="30.75" thickBot="1">
      <c r="A9" s="5"/>
      <c r="B9" s="6"/>
      <c r="C9" s="6" t="s">
        <v>207</v>
      </c>
      <c r="D9" s="667"/>
    </row>
    <row r="11" spans="1:4">
      <c r="A11" s="97"/>
    </row>
  </sheetData>
  <mergeCells count="3">
    <mergeCell ref="D2:D3"/>
    <mergeCell ref="D5:D6"/>
    <mergeCell ref="D8:D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LeanGlossary</vt:lpstr>
      <vt:lpstr>5S Audit Sheet</vt:lpstr>
      <vt:lpstr>VSM Symbols</vt:lpstr>
      <vt:lpstr>VSM - Generic</vt:lpstr>
      <vt:lpstr>EPEI Calculation</vt:lpstr>
      <vt:lpstr>Six Sigma Tools</vt:lpstr>
      <vt:lpstr>Pugh Matrix</vt:lpstr>
      <vt:lpstr>Net Present Value</vt:lpstr>
      <vt:lpstr>VOC - Y Sheet</vt:lpstr>
      <vt:lpstr>Prioritizing Cust Req</vt:lpstr>
      <vt:lpstr>QFD</vt:lpstr>
      <vt:lpstr>RACI Matrix</vt:lpstr>
      <vt:lpstr>Gantt Chart</vt:lpstr>
      <vt:lpstr>CE Matrix</vt:lpstr>
      <vt:lpstr>GRR Done</vt:lpstr>
      <vt:lpstr>Variables GRR</vt:lpstr>
      <vt:lpstr>Attribute RR</vt:lpstr>
      <vt:lpstr>Sample Size Calculator</vt:lpstr>
      <vt:lpstr>DPMO-Sig Conversion</vt:lpstr>
      <vt:lpstr>Fishers Test</vt:lpstr>
      <vt:lpstr>Sum of Squares Analysis</vt:lpstr>
      <vt:lpstr>Sum of Squares Table</vt:lpstr>
      <vt:lpstr>Project Prioritization Matrix</vt:lpstr>
      <vt:lpstr>SIPOC</vt:lpstr>
      <vt:lpstr>DPMO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Vinutha Gopal</cp:lastModifiedBy>
  <dcterms:created xsi:type="dcterms:W3CDTF">2011-11-05T03:15:07Z</dcterms:created>
  <dcterms:modified xsi:type="dcterms:W3CDTF">2014-02-03T07:01:27Z</dcterms:modified>
</cp:coreProperties>
</file>