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lu/Desktop/"/>
    </mc:Choice>
  </mc:AlternateContent>
  <xr:revisionPtr revIDLastSave="0" documentId="8_{9CBBF09F-5E1D-6F41-B6AE-BB0735BFC87B}" xr6:coauthVersionLast="45" xr6:coauthVersionMax="45" xr10:uidLastSave="{00000000-0000-0000-0000-000000000000}"/>
  <bookViews>
    <workbookView xWindow="0" yWindow="460" windowWidth="28800" windowHeight="15980" tabRatio="735" firstSheet="1" activeTab="1" xr2:uid="{00000000-000D-0000-FFFF-FFFF00000000}"/>
  </bookViews>
  <sheets>
    <sheet name="DHL Raw Data" sheetId="5" r:id="rId1"/>
    <sheet name="Original Case Study Model ($3B)" sheetId="10" r:id="rId2"/>
    <sheet name="Linearity Report ($3B)" sheetId="11" r:id="rId3"/>
    <sheet name="Budget Comparison ($3 vs $3.3B)" sheetId="17" r:id="rId4"/>
    <sheet name="Decreased Emissions (-10%)" sheetId="15" r:id="rId5"/>
    <sheet name="Decreased Emissions (-20%)" sheetId="13" r:id="rId6"/>
    <sheet name="Decreased Emissions (-30%)" sheetId="12" r:id="rId7"/>
    <sheet name="GR-Total Carbon Emissions" sheetId="18" r:id="rId8"/>
    <sheet name="GR-Cost Comp per 10% Reduction" sheetId="21" r:id="rId9"/>
    <sheet name="GR-Overall Cost to Reduce Emiss" sheetId="22" r:id="rId10"/>
    <sheet name="GR-Budget Comp, Emission Reduct" sheetId="19" r:id="rId11"/>
  </sheets>
  <definedNames>
    <definedName name="solver_adj" localSheetId="3" hidden="1">'Budget Comparison ($3 vs $3.3B)'!$E$38:$L$46</definedName>
    <definedName name="solver_adj" localSheetId="4" hidden="1">'Decreased Emissions (-10%)'!$E$38:$L$46</definedName>
    <definedName name="solver_adj" localSheetId="5" hidden="1">'Decreased Emissions (-20%)'!$E$38:$L$46</definedName>
    <definedName name="solver_adj" localSheetId="6" hidden="1">'Decreased Emissions (-30%)'!$E$38:$L$46</definedName>
    <definedName name="solver_adj" localSheetId="1" hidden="1">'Original Case Study Model ($3B)'!$E$38:$L$46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lhs1" localSheetId="3" hidden="1">'Budget Comparison ($3 vs $3.3B)'!$E$38:$K$46</definedName>
    <definedName name="solver_lhs1" localSheetId="4" hidden="1">'Decreased Emissions (-10%)'!$E$38:$K$46</definedName>
    <definedName name="solver_lhs1" localSheetId="5" hidden="1">'Decreased Emissions (-20%)'!$E$38:$K$46</definedName>
    <definedName name="solver_lhs1" localSheetId="6" hidden="1">'Decreased Emissions (-30%)'!$E$38:$K$46</definedName>
    <definedName name="solver_lhs1" localSheetId="1" hidden="1">'Original Case Study Model ($3B)'!$E$38:$K$46</definedName>
    <definedName name="solver_lhs10" localSheetId="3" hidden="1">'Budget Comparison ($3 vs $3.3B)'!$J$45</definedName>
    <definedName name="solver_lhs10" localSheetId="4" hidden="1">'Decreased Emissions (-10%)'!$J$45</definedName>
    <definedName name="solver_lhs10" localSheetId="5" hidden="1">'Decreased Emissions (-20%)'!$J$45</definedName>
    <definedName name="solver_lhs10" localSheetId="6" hidden="1">'Decreased Emissions (-30%)'!$J$45</definedName>
    <definedName name="solver_lhs10" localSheetId="1" hidden="1">'Original Case Study Model ($3B)'!$J$45</definedName>
    <definedName name="solver_lhs11" localSheetId="3" hidden="1">'Budget Comparison ($3 vs $3.3B)'!$K$44</definedName>
    <definedName name="solver_lhs11" localSheetId="4" hidden="1">'Decreased Emissions (-10%)'!$K$44</definedName>
    <definedName name="solver_lhs11" localSheetId="5" hidden="1">'Decreased Emissions (-20%)'!$K$44</definedName>
    <definedName name="solver_lhs11" localSheetId="6" hidden="1">'Decreased Emissions (-30%)'!$K$44</definedName>
    <definedName name="solver_lhs11" localSheetId="1" hidden="1">'Original Case Study Model ($3B)'!$K$44</definedName>
    <definedName name="solver_lhs12" localSheetId="3" hidden="1">'Budget Comparison ($3 vs $3.3B)'!$L$38:$L$46</definedName>
    <definedName name="solver_lhs12" localSheetId="4" hidden="1">'Decreased Emissions (-10%)'!$L$38:$L$46</definedName>
    <definedName name="solver_lhs12" localSheetId="5" hidden="1">'Decreased Emissions (-20%)'!$L$38:$L$46</definedName>
    <definedName name="solver_lhs12" localSheetId="6" hidden="1">'Decreased Emissions (-30%)'!$L$38:$L$46</definedName>
    <definedName name="solver_lhs12" localSheetId="1" hidden="1">'Original Case Study Model ($3B)'!$L$38:$L$46</definedName>
    <definedName name="solver_lhs13" localSheetId="3" hidden="1">'Budget Comparison ($3 vs $3.3B)'!$M$27</definedName>
    <definedName name="solver_lhs13" localSheetId="4" hidden="1">'Decreased Emissions (-10%)'!$M$27</definedName>
    <definedName name="solver_lhs13" localSheetId="5" hidden="1">'Decreased Emissions (-20%)'!$M$27</definedName>
    <definedName name="solver_lhs13" localSheetId="6" hidden="1">'Decreased Emissions (-30%)'!$M$27</definedName>
    <definedName name="solver_lhs13" localSheetId="1" hidden="1">'Original Case Study Model ($3B)'!$M$27</definedName>
    <definedName name="solver_lhs14" localSheetId="3" hidden="1">'Budget Comparison ($3 vs $3.3B)'!$M$31</definedName>
    <definedName name="solver_lhs14" localSheetId="4" hidden="1">'Decreased Emissions (-10%)'!$M$31</definedName>
    <definedName name="solver_lhs14" localSheetId="5" hidden="1">'Decreased Emissions (-20%)'!$M$31</definedName>
    <definedName name="solver_lhs14" localSheetId="6" hidden="1">'Decreased Emissions (-30%)'!$M$31</definedName>
    <definedName name="solver_lhs14" localSheetId="1" hidden="1">'Original Case Study Model ($3B)'!$M$31</definedName>
    <definedName name="solver_lhs15" localSheetId="3" hidden="1">'Budget Comparison ($3 vs $3.3B)'!$M$33</definedName>
    <definedName name="solver_lhs15" localSheetId="4" hidden="1">'Decreased Emissions (-10%)'!$M$33</definedName>
    <definedName name="solver_lhs15" localSheetId="5" hidden="1">'Decreased Emissions (-20%)'!$M$33</definedName>
    <definedName name="solver_lhs15" localSheetId="6" hidden="1">'Decreased Emissions (-30%)'!$M$33</definedName>
    <definedName name="solver_lhs15" localSheetId="1" hidden="1">'Original Case Study Model ($3B)'!$M$33</definedName>
    <definedName name="solver_lhs16" localSheetId="3" hidden="1">'Budget Comparison ($3 vs $3.3B)'!$Q$38:$Q$46</definedName>
    <definedName name="solver_lhs16" localSheetId="4" hidden="1">'Decreased Emissions (-10%)'!$N$47</definedName>
    <definedName name="solver_lhs16" localSheetId="5" hidden="1">'Decreased Emissions (-20%)'!$N$47</definedName>
    <definedName name="solver_lhs16" localSheetId="6" hidden="1">'Decreased Emissions (-30%)'!$N$47</definedName>
    <definedName name="solver_lhs16" localSheetId="1" hidden="1">'Original Case Study Model ($3B)'!$Q$38:$Q$46</definedName>
    <definedName name="solver_lhs17" localSheetId="3" hidden="1">'Budget Comparison ($3 vs $3.3B)'!$V$38:$V$46</definedName>
    <definedName name="solver_lhs17" localSheetId="4" hidden="1">'Decreased Emissions (-10%)'!$Q$38:$Q$46</definedName>
    <definedName name="solver_lhs17" localSheetId="5" hidden="1">'Decreased Emissions (-20%)'!$Q$38:$Q$46</definedName>
    <definedName name="solver_lhs17" localSheetId="6" hidden="1">'Decreased Emissions (-30%)'!$Q$38:$Q$46</definedName>
    <definedName name="solver_lhs17" localSheetId="1" hidden="1">'Original Case Study Model ($3B)'!$V$38:$V$46</definedName>
    <definedName name="solver_lhs18" localSheetId="3" hidden="1">'Budget Comparison ($3 vs $3.3B)'!$Y$38:$Y$46</definedName>
    <definedName name="solver_lhs18" localSheetId="4" hidden="1">'Decreased Emissions (-10%)'!$V$38:$V$46</definedName>
    <definedName name="solver_lhs18" localSheetId="5" hidden="1">'Decreased Emissions (-20%)'!$V$38:$V$46</definedName>
    <definedName name="solver_lhs18" localSheetId="6" hidden="1">'Decreased Emissions (-30%)'!$V$38:$V$46</definedName>
    <definedName name="solver_lhs18" localSheetId="1" hidden="1">'Original Case Study Model ($3B)'!$Y$38:$Y$46</definedName>
    <definedName name="solver_lhs2" localSheetId="3" hidden="1">'Budget Comparison ($3 vs $3.3B)'!$E$44</definedName>
    <definedName name="solver_lhs2" localSheetId="4" hidden="1">'Decreased Emissions (-10%)'!$E$44</definedName>
    <definedName name="solver_lhs2" localSheetId="5" hidden="1">'Decreased Emissions (-20%)'!$E$44</definedName>
    <definedName name="solver_lhs2" localSheetId="6" hidden="1">'Decreased Emissions (-30%)'!$E$44</definedName>
    <definedName name="solver_lhs2" localSheetId="1" hidden="1">'Original Case Study Model ($3B)'!$E$44</definedName>
    <definedName name="solver_lhs3" localSheetId="3" hidden="1">'Budget Comparison ($3 vs $3.3B)'!$E$51:$J$51</definedName>
    <definedName name="solver_lhs3" localSheetId="4" hidden="1">'Decreased Emissions (-10%)'!$E$51:$J$51</definedName>
    <definedName name="solver_lhs3" localSheetId="5" hidden="1">'Decreased Emissions (-20%)'!$E$51:$J$51</definedName>
    <definedName name="solver_lhs3" localSheetId="6" hidden="1">'Decreased Emissions (-30%)'!$E$51:$J$51</definedName>
    <definedName name="solver_lhs3" localSheetId="1" hidden="1">'Original Case Study Model ($3B)'!$E$51:$J$51</definedName>
    <definedName name="solver_lhs4" localSheetId="3" hidden="1">'Budget Comparison ($3 vs $3.3B)'!$E$55:$J$55</definedName>
    <definedName name="solver_lhs4" localSheetId="4" hidden="1">'Decreased Emissions (-10%)'!$E$55:$J$55</definedName>
    <definedName name="solver_lhs4" localSheetId="5" hidden="1">'Decreased Emissions (-20%)'!$E$55:$J$55</definedName>
    <definedName name="solver_lhs4" localSheetId="6" hidden="1">'Decreased Emissions (-30%)'!$E$55:$J$55</definedName>
    <definedName name="solver_lhs4" localSheetId="1" hidden="1">'Original Case Study Model ($3B)'!$E$55:$J$55</definedName>
    <definedName name="solver_lhs5" localSheetId="3" hidden="1">'Budget Comparison ($3 vs $3.3B)'!$F$44</definedName>
    <definedName name="solver_lhs5" localSheetId="4" hidden="1">'Decreased Emissions (-10%)'!$F$44</definedName>
    <definedName name="solver_lhs5" localSheetId="5" hidden="1">'Decreased Emissions (-20%)'!$F$44</definedName>
    <definedName name="solver_lhs5" localSheetId="6" hidden="1">'Decreased Emissions (-30%)'!$F$44</definedName>
    <definedName name="solver_lhs5" localSheetId="1" hidden="1">'Original Case Study Model ($3B)'!$F$44</definedName>
    <definedName name="solver_lhs6" localSheetId="3" hidden="1">'Budget Comparison ($3 vs $3.3B)'!$G$45</definedName>
    <definedName name="solver_lhs6" localSheetId="4" hidden="1">'Decreased Emissions (-10%)'!$G$45</definedName>
    <definedName name="solver_lhs6" localSheetId="5" hidden="1">'Decreased Emissions (-20%)'!$G$45</definedName>
    <definedName name="solver_lhs6" localSheetId="6" hidden="1">'Decreased Emissions (-30%)'!$G$45</definedName>
    <definedName name="solver_lhs6" localSheetId="1" hidden="1">'Original Case Study Model ($3B)'!$G$45</definedName>
    <definedName name="solver_lhs7" localSheetId="3" hidden="1">'Budget Comparison ($3 vs $3.3B)'!$H$45</definedName>
    <definedName name="solver_lhs7" localSheetId="4" hidden="1">'Decreased Emissions (-10%)'!$H$45</definedName>
    <definedName name="solver_lhs7" localSheetId="5" hidden="1">'Decreased Emissions (-20%)'!$H$45</definedName>
    <definedName name="solver_lhs7" localSheetId="6" hidden="1">'Decreased Emissions (-30%)'!$H$45</definedName>
    <definedName name="solver_lhs7" localSheetId="1" hidden="1">'Original Case Study Model ($3B)'!$H$45</definedName>
    <definedName name="solver_lhs8" localSheetId="3" hidden="1">'Budget Comparison ($3 vs $3.3B)'!$I$45</definedName>
    <definedName name="solver_lhs8" localSheetId="4" hidden="1">'Decreased Emissions (-10%)'!$I$45</definedName>
    <definedName name="solver_lhs8" localSheetId="5" hidden="1">'Decreased Emissions (-20%)'!$I$45</definedName>
    <definedName name="solver_lhs8" localSheetId="6" hidden="1">'Decreased Emissions (-30%)'!$I$45</definedName>
    <definedName name="solver_lhs8" localSheetId="1" hidden="1">'Original Case Study Model ($3B)'!$I$45</definedName>
    <definedName name="solver_lhs9" localSheetId="3" hidden="1">'Budget Comparison ($3 vs $3.3B)'!$J$44</definedName>
    <definedName name="solver_lhs9" localSheetId="4" hidden="1">'Decreased Emissions (-10%)'!$J$44</definedName>
    <definedName name="solver_lhs9" localSheetId="5" hidden="1">'Decreased Emissions (-20%)'!$J$44</definedName>
    <definedName name="solver_lhs9" localSheetId="6" hidden="1">'Decreased Emissions (-30%)'!$J$44</definedName>
    <definedName name="solver_lhs9" localSheetId="1" hidden="1">'Original Case Study Model ($3B)'!$J$44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1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um" localSheetId="3" hidden="1">17</definedName>
    <definedName name="solver_num" localSheetId="4" hidden="1">18</definedName>
    <definedName name="solver_num" localSheetId="5" hidden="1">18</definedName>
    <definedName name="solver_num" localSheetId="6" hidden="1">18</definedName>
    <definedName name="solver_num" localSheetId="1" hidden="1">17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opt" localSheetId="3" hidden="1">'Budget Comparison ($3 vs $3.3B)'!$N$23</definedName>
    <definedName name="solver_opt" localSheetId="4" hidden="1">'Decreased Emissions (-10%)'!$N$23</definedName>
    <definedName name="solver_opt" localSheetId="5" hidden="1">'Decreased Emissions (-20%)'!$N$23</definedName>
    <definedName name="solver_opt" localSheetId="6" hidden="1">'Decreased Emissions (-30%)'!$N$23</definedName>
    <definedName name="solver_opt" localSheetId="1" hidden="1">'Original Case Study Model ($3B)'!$N$23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el1" localSheetId="3" hidden="1">4</definedName>
    <definedName name="solver_rel1" localSheetId="4" hidden="1">4</definedName>
    <definedName name="solver_rel1" localSheetId="5" hidden="1">4</definedName>
    <definedName name="solver_rel1" localSheetId="6" hidden="1">4</definedName>
    <definedName name="solver_rel1" localSheetId="1" hidden="1">4</definedName>
    <definedName name="solver_rel10" localSheetId="3" hidden="1">2</definedName>
    <definedName name="solver_rel10" localSheetId="4" hidden="1">2</definedName>
    <definedName name="solver_rel10" localSheetId="5" hidden="1">2</definedName>
    <definedName name="solver_rel10" localSheetId="6" hidden="1">2</definedName>
    <definedName name="solver_rel10" localSheetId="1" hidden="1">2</definedName>
    <definedName name="solver_rel11" localSheetId="3" hidden="1">2</definedName>
    <definedName name="solver_rel11" localSheetId="4" hidden="1">2</definedName>
    <definedName name="solver_rel11" localSheetId="5" hidden="1">2</definedName>
    <definedName name="solver_rel11" localSheetId="6" hidden="1">2</definedName>
    <definedName name="solver_rel11" localSheetId="1" hidden="1">2</definedName>
    <definedName name="solver_rel12" localSheetId="3" hidden="1">5</definedName>
    <definedName name="solver_rel12" localSheetId="4" hidden="1">5</definedName>
    <definedName name="solver_rel12" localSheetId="5" hidden="1">5</definedName>
    <definedName name="solver_rel12" localSheetId="6" hidden="1">5</definedName>
    <definedName name="solver_rel12" localSheetId="1" hidden="1">5</definedName>
    <definedName name="solver_rel13" localSheetId="3" hidden="1">1</definedName>
    <definedName name="solver_rel13" localSheetId="4" hidden="1">1</definedName>
    <definedName name="solver_rel13" localSheetId="5" hidden="1">1</definedName>
    <definedName name="solver_rel13" localSheetId="6" hidden="1">1</definedName>
    <definedName name="solver_rel13" localSheetId="1" hidden="1">1</definedName>
    <definedName name="solver_rel14" localSheetId="3" hidden="1">2</definedName>
    <definedName name="solver_rel14" localSheetId="4" hidden="1">2</definedName>
    <definedName name="solver_rel14" localSheetId="5" hidden="1">2</definedName>
    <definedName name="solver_rel14" localSheetId="6" hidden="1">2</definedName>
    <definedName name="solver_rel14" localSheetId="1" hidden="1">2</definedName>
    <definedName name="solver_rel15" localSheetId="3" hidden="1">2</definedName>
    <definedName name="solver_rel15" localSheetId="4" hidden="1">2</definedName>
    <definedName name="solver_rel15" localSheetId="5" hidden="1">2</definedName>
    <definedName name="solver_rel15" localSheetId="6" hidden="1">2</definedName>
    <definedName name="solver_rel15" localSheetId="1" hidden="1">2</definedName>
    <definedName name="solver_rel16" localSheetId="3" hidden="1">1</definedName>
    <definedName name="solver_rel16" localSheetId="4" hidden="1">1</definedName>
    <definedName name="solver_rel16" localSheetId="5" hidden="1">1</definedName>
    <definedName name="solver_rel16" localSheetId="6" hidden="1">1</definedName>
    <definedName name="solver_rel16" localSheetId="1" hidden="1">1</definedName>
    <definedName name="solver_rel17" localSheetId="3" hidden="1">3</definedName>
    <definedName name="solver_rel17" localSheetId="4" hidden="1">1</definedName>
    <definedName name="solver_rel17" localSheetId="5" hidden="1">1</definedName>
    <definedName name="solver_rel17" localSheetId="6" hidden="1">1</definedName>
    <definedName name="solver_rel17" localSheetId="1" hidden="1">3</definedName>
    <definedName name="solver_rel18" localSheetId="3" hidden="1">3</definedName>
    <definedName name="solver_rel18" localSheetId="4" hidden="1">3</definedName>
    <definedName name="solver_rel18" localSheetId="5" hidden="1">3</definedName>
    <definedName name="solver_rel18" localSheetId="6" hidden="1">3</definedName>
    <definedName name="solver_rel18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1" hidden="1">3</definedName>
    <definedName name="solver_rel4" localSheetId="3" hidden="1">3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1" hidden="1">3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1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1" hidden="1">2</definedName>
    <definedName name="solver_rel7" localSheetId="3" hidden="1">2</definedName>
    <definedName name="solver_rel7" localSheetId="4" hidden="1">2</definedName>
    <definedName name="solver_rel7" localSheetId="5" hidden="1">2</definedName>
    <definedName name="solver_rel7" localSheetId="6" hidden="1">2</definedName>
    <definedName name="solver_rel7" localSheetId="1" hidden="1">2</definedName>
    <definedName name="solver_rel8" localSheetId="3" hidden="1">2</definedName>
    <definedName name="solver_rel8" localSheetId="4" hidden="1">2</definedName>
    <definedName name="solver_rel8" localSheetId="5" hidden="1">2</definedName>
    <definedName name="solver_rel8" localSheetId="6" hidden="1">2</definedName>
    <definedName name="solver_rel8" localSheetId="1" hidden="1">2</definedName>
    <definedName name="solver_rel9" localSheetId="3" hidden="1">2</definedName>
    <definedName name="solver_rel9" localSheetId="4" hidden="1">2</definedName>
    <definedName name="solver_rel9" localSheetId="5" hidden="1">2</definedName>
    <definedName name="solver_rel9" localSheetId="6" hidden="1">2</definedName>
    <definedName name="solver_rel9" localSheetId="1" hidden="1">2</definedName>
    <definedName name="solver_rhs1" localSheetId="3" hidden="1">integer</definedName>
    <definedName name="solver_rhs1" localSheetId="4" hidden="1">integer</definedName>
    <definedName name="solver_rhs1" localSheetId="5" hidden="1">integer</definedName>
    <definedName name="solver_rhs1" localSheetId="6" hidden="1">integer</definedName>
    <definedName name="solver_rhs1" localSheetId="1" hidden="1">integer</definedName>
    <definedName name="solver_rhs10" localSheetId="3" hidden="1">0</definedName>
    <definedName name="solver_rhs10" localSheetId="4" hidden="1">0</definedName>
    <definedName name="solver_rhs10" localSheetId="5" hidden="1">0</definedName>
    <definedName name="solver_rhs10" localSheetId="6" hidden="1">0</definedName>
    <definedName name="solver_rhs10" localSheetId="1" hidden="1">0</definedName>
    <definedName name="solver_rhs11" localSheetId="3" hidden="1">0</definedName>
    <definedName name="solver_rhs11" localSheetId="4" hidden="1">0</definedName>
    <definedName name="solver_rhs11" localSheetId="5" hidden="1">0</definedName>
    <definedName name="solver_rhs11" localSheetId="6" hidden="1">0</definedName>
    <definedName name="solver_rhs11" localSheetId="1" hidden="1">0</definedName>
    <definedName name="solver_rhs12" localSheetId="3" hidden="1">binary</definedName>
    <definedName name="solver_rhs12" localSheetId="4" hidden="1">binary</definedName>
    <definedName name="solver_rhs12" localSheetId="5" hidden="1">binary</definedName>
    <definedName name="solver_rhs12" localSheetId="6" hidden="1">binary</definedName>
    <definedName name="solver_rhs12" localSheetId="1" hidden="1">binary</definedName>
    <definedName name="solver_rhs13" localSheetId="3" hidden="1">'Budget Comparison ($3 vs $3.3B)'!$O$27</definedName>
    <definedName name="solver_rhs13" localSheetId="4" hidden="1">'Decreased Emissions (-10%)'!$O$27</definedName>
    <definedName name="solver_rhs13" localSheetId="5" hidden="1">'Decreased Emissions (-20%)'!$O$27</definedName>
    <definedName name="solver_rhs13" localSheetId="6" hidden="1">'Decreased Emissions (-30%)'!$O$27</definedName>
    <definedName name="solver_rhs13" localSheetId="1" hidden="1">'Original Case Study Model ($3B)'!$O$27</definedName>
    <definedName name="solver_rhs14" localSheetId="3" hidden="1">'Budget Comparison ($3 vs $3.3B)'!$O$31</definedName>
    <definedName name="solver_rhs14" localSheetId="4" hidden="1">'Decreased Emissions (-10%)'!$O$31</definedName>
    <definedName name="solver_rhs14" localSheetId="5" hidden="1">'Decreased Emissions (-20%)'!$O$31</definedName>
    <definedName name="solver_rhs14" localSheetId="6" hidden="1">'Decreased Emissions (-30%)'!$O$31</definedName>
    <definedName name="solver_rhs14" localSheetId="1" hidden="1">'Original Case Study Model ($3B)'!$O$31</definedName>
    <definedName name="solver_rhs15" localSheetId="3" hidden="1">'Budget Comparison ($3 vs $3.3B)'!$O$33</definedName>
    <definedName name="solver_rhs15" localSheetId="4" hidden="1">'Decreased Emissions (-10%)'!$O$33</definedName>
    <definedName name="solver_rhs15" localSheetId="5" hidden="1">'Decreased Emissions (-20%)'!$O$33</definedName>
    <definedName name="solver_rhs15" localSheetId="6" hidden="1">'Decreased Emissions (-30%)'!$O$33</definedName>
    <definedName name="solver_rhs15" localSheetId="1" hidden="1">'Original Case Study Model ($3B)'!$O$33</definedName>
    <definedName name="solver_rhs16" localSheetId="3" hidden="1">0</definedName>
    <definedName name="solver_rhs16" localSheetId="4" hidden="1">'Decreased Emissions (-10%)'!$N$49</definedName>
    <definedName name="solver_rhs16" localSheetId="5" hidden="1">'Decreased Emissions (-20%)'!$N$49</definedName>
    <definedName name="solver_rhs16" localSheetId="6" hidden="1">'Decreased Emissions (-30%)'!$N$49</definedName>
    <definedName name="solver_rhs16" localSheetId="1" hidden="1">0</definedName>
    <definedName name="solver_rhs17" localSheetId="3" hidden="1">0</definedName>
    <definedName name="solver_rhs17" localSheetId="4" hidden="1">0</definedName>
    <definedName name="solver_rhs17" localSheetId="5" hidden="1">0</definedName>
    <definedName name="solver_rhs17" localSheetId="6" hidden="1">0</definedName>
    <definedName name="solver_rhs17" localSheetId="1" hidden="1">0</definedName>
    <definedName name="solver_rhs18" localSheetId="3" hidden="1">'Budget Comparison ($3 vs $3.3B)'!$AA$38:$AA$46</definedName>
    <definedName name="solver_rhs18" localSheetId="4" hidden="1">0</definedName>
    <definedName name="solver_rhs18" localSheetId="5" hidden="1">0</definedName>
    <definedName name="solver_rhs18" localSheetId="6" hidden="1">0</definedName>
    <definedName name="solver_rhs18" localSheetId="1" hidden="1">'Original Case Study Model ($3B)'!$AA$38:$AA$46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1" hidden="1">0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1" hidden="1">0</definedName>
    <definedName name="solver_rhs4" localSheetId="3" hidden="1">0</definedName>
    <definedName name="solver_rhs4" localSheetId="4" hidden="1">0</definedName>
    <definedName name="solver_rhs4" localSheetId="5" hidden="1">0</definedName>
    <definedName name="solver_rhs4" localSheetId="6" hidden="1">0</definedName>
    <definedName name="solver_rhs4" localSheetId="1" hidden="1">0</definedName>
    <definedName name="solver_rhs5" localSheetId="3" hidden="1">0</definedName>
    <definedName name="solver_rhs5" localSheetId="4" hidden="1">0</definedName>
    <definedName name="solver_rhs5" localSheetId="5" hidden="1">0</definedName>
    <definedName name="solver_rhs5" localSheetId="6" hidden="1">0</definedName>
    <definedName name="solver_rhs5" localSheetId="1" hidden="1">0</definedName>
    <definedName name="solver_rhs6" localSheetId="3" hidden="1">0</definedName>
    <definedName name="solver_rhs6" localSheetId="4" hidden="1">0</definedName>
    <definedName name="solver_rhs6" localSheetId="5" hidden="1">0</definedName>
    <definedName name="solver_rhs6" localSheetId="6" hidden="1">0</definedName>
    <definedName name="solver_rhs6" localSheetId="1" hidden="1">0</definedName>
    <definedName name="solver_rhs7" localSheetId="3" hidden="1">0</definedName>
    <definedName name="solver_rhs7" localSheetId="4" hidden="1">0</definedName>
    <definedName name="solver_rhs7" localSheetId="5" hidden="1">0</definedName>
    <definedName name="solver_rhs7" localSheetId="6" hidden="1">0</definedName>
    <definedName name="solver_rhs7" localSheetId="1" hidden="1">0</definedName>
    <definedName name="solver_rhs8" localSheetId="3" hidden="1">0</definedName>
    <definedName name="solver_rhs8" localSheetId="4" hidden="1">0</definedName>
    <definedName name="solver_rhs8" localSheetId="5" hidden="1">0</definedName>
    <definedName name="solver_rhs8" localSheetId="6" hidden="1">0</definedName>
    <definedName name="solver_rhs8" localSheetId="1" hidden="1">0</definedName>
    <definedName name="solver_rhs9" localSheetId="3" hidden="1">0</definedName>
    <definedName name="solver_rhs9" localSheetId="4" hidden="1">0</definedName>
    <definedName name="solver_rhs9" localSheetId="5" hidden="1">0</definedName>
    <definedName name="solver_rhs9" localSheetId="6" hidden="1">0</definedName>
    <definedName name="solver_rhs9" localSheetId="1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1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1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8" l="1"/>
  <c r="F13" i="18" s="1"/>
  <c r="E12" i="18"/>
  <c r="F12" i="18" s="1"/>
  <c r="E11" i="18"/>
  <c r="G11" i="18" l="1"/>
  <c r="G12" i="18" s="1"/>
  <c r="G13" i="18" s="1"/>
  <c r="F11" i="18"/>
  <c r="E11" i="22"/>
  <c r="E10" i="22"/>
  <c r="E9" i="22"/>
  <c r="E11" i="21"/>
  <c r="E10" i="21"/>
  <c r="E9" i="21"/>
  <c r="J55" i="15"/>
  <c r="G55" i="15"/>
  <c r="E55" i="15"/>
  <c r="J51" i="15"/>
  <c r="G51" i="15"/>
  <c r="E51" i="15"/>
  <c r="N49" i="15"/>
  <c r="C18" i="18" s="1"/>
  <c r="K47" i="15"/>
  <c r="J47" i="15"/>
  <c r="I47" i="15"/>
  <c r="H47" i="15"/>
  <c r="G47" i="15"/>
  <c r="F47" i="15"/>
  <c r="E47" i="15"/>
  <c r="V46" i="15"/>
  <c r="Q46" i="15"/>
  <c r="M46" i="15"/>
  <c r="V45" i="15"/>
  <c r="Q45" i="15"/>
  <c r="M45" i="15"/>
  <c r="V44" i="15"/>
  <c r="Q44" i="15"/>
  <c r="M44" i="15"/>
  <c r="V43" i="15"/>
  <c r="Q43" i="15"/>
  <c r="M43" i="15"/>
  <c r="V42" i="15"/>
  <c r="Q42" i="15"/>
  <c r="M42" i="15"/>
  <c r="V41" i="15"/>
  <c r="Q41" i="15"/>
  <c r="M41" i="15"/>
  <c r="V40" i="15"/>
  <c r="Q40" i="15"/>
  <c r="M40" i="15"/>
  <c r="V39" i="15"/>
  <c r="Q39" i="15"/>
  <c r="M39" i="15"/>
  <c r="V38" i="15"/>
  <c r="Q38" i="15"/>
  <c r="M38" i="15"/>
  <c r="M33" i="15"/>
  <c r="K33" i="15"/>
  <c r="J33" i="15"/>
  <c r="I33" i="15"/>
  <c r="H33" i="15"/>
  <c r="G33" i="15"/>
  <c r="F33" i="15"/>
  <c r="N46" i="15" s="1"/>
  <c r="E33" i="15"/>
  <c r="K32" i="15"/>
  <c r="J32" i="15"/>
  <c r="I32" i="15"/>
  <c r="H32" i="15"/>
  <c r="G32" i="15"/>
  <c r="F32" i="15"/>
  <c r="E32" i="15"/>
  <c r="N45" i="15" s="1"/>
  <c r="M31" i="15"/>
  <c r="K31" i="15"/>
  <c r="J31" i="15"/>
  <c r="I31" i="15"/>
  <c r="H31" i="15"/>
  <c r="G31" i="15"/>
  <c r="F31" i="15"/>
  <c r="E31" i="15"/>
  <c r="N44" i="15" s="1"/>
  <c r="K30" i="15"/>
  <c r="J30" i="15"/>
  <c r="I30" i="15"/>
  <c r="H30" i="15"/>
  <c r="N43" i="15" s="1"/>
  <c r="G30" i="15"/>
  <c r="F30" i="15"/>
  <c r="E30" i="15"/>
  <c r="K29" i="15"/>
  <c r="J29" i="15"/>
  <c r="I29" i="15"/>
  <c r="H29" i="15"/>
  <c r="G29" i="15"/>
  <c r="F29" i="15"/>
  <c r="E29" i="15"/>
  <c r="K28" i="15"/>
  <c r="J28" i="15"/>
  <c r="I28" i="15"/>
  <c r="H28" i="15"/>
  <c r="G28" i="15"/>
  <c r="F28" i="15"/>
  <c r="N41" i="15" s="1"/>
  <c r="E28" i="15"/>
  <c r="K27" i="15"/>
  <c r="J27" i="15"/>
  <c r="I27" i="15"/>
  <c r="H27" i="15"/>
  <c r="G27" i="15"/>
  <c r="F27" i="15"/>
  <c r="E27" i="15"/>
  <c r="K26" i="15"/>
  <c r="J26" i="15"/>
  <c r="I26" i="15"/>
  <c r="H26" i="15"/>
  <c r="G26" i="15"/>
  <c r="F26" i="15"/>
  <c r="E26" i="15"/>
  <c r="N39" i="15" s="1"/>
  <c r="K25" i="15"/>
  <c r="J25" i="15"/>
  <c r="I25" i="15"/>
  <c r="H25" i="15"/>
  <c r="G25" i="15"/>
  <c r="F25" i="15"/>
  <c r="E25" i="15"/>
  <c r="N22" i="15"/>
  <c r="K22" i="15"/>
  <c r="J22" i="15"/>
  <c r="I22" i="15"/>
  <c r="H22" i="15"/>
  <c r="G22" i="15"/>
  <c r="F22" i="15"/>
  <c r="E22" i="15"/>
  <c r="N21" i="15"/>
  <c r="K21" i="15"/>
  <c r="F21" i="15"/>
  <c r="E21" i="15"/>
  <c r="N20" i="15"/>
  <c r="I20" i="15"/>
  <c r="H20" i="15"/>
  <c r="G20" i="15"/>
  <c r="N19" i="15"/>
  <c r="K19" i="15"/>
  <c r="J19" i="15"/>
  <c r="I19" i="15"/>
  <c r="H19" i="15"/>
  <c r="G19" i="15"/>
  <c r="F19" i="15"/>
  <c r="E19" i="15"/>
  <c r="N18" i="15"/>
  <c r="K18" i="15"/>
  <c r="J18" i="15"/>
  <c r="I18" i="15"/>
  <c r="H18" i="15"/>
  <c r="G18" i="15"/>
  <c r="F18" i="15"/>
  <c r="E18" i="15"/>
  <c r="N17" i="15"/>
  <c r="K17" i="15"/>
  <c r="J17" i="15"/>
  <c r="I17" i="15"/>
  <c r="H17" i="15"/>
  <c r="G17" i="15"/>
  <c r="F17" i="15"/>
  <c r="E17" i="15"/>
  <c r="N16" i="15"/>
  <c r="K16" i="15"/>
  <c r="J16" i="15"/>
  <c r="I16" i="15"/>
  <c r="H16" i="15"/>
  <c r="G16" i="15"/>
  <c r="F16" i="15"/>
  <c r="E16" i="15"/>
  <c r="N15" i="15"/>
  <c r="K15" i="15"/>
  <c r="J15" i="15"/>
  <c r="I15" i="15"/>
  <c r="H15" i="15"/>
  <c r="G15" i="15"/>
  <c r="F15" i="15"/>
  <c r="E15" i="15"/>
  <c r="N14" i="15"/>
  <c r="K14" i="15"/>
  <c r="J14" i="15"/>
  <c r="I14" i="15"/>
  <c r="H14" i="15"/>
  <c r="G14" i="15"/>
  <c r="F14" i="15"/>
  <c r="E14" i="15"/>
  <c r="E4" i="15"/>
  <c r="E3" i="15"/>
  <c r="J55" i="13"/>
  <c r="G55" i="13"/>
  <c r="E55" i="13"/>
  <c r="J51" i="13"/>
  <c r="G51" i="13"/>
  <c r="E51" i="13"/>
  <c r="N49" i="13"/>
  <c r="K47" i="13"/>
  <c r="J47" i="13"/>
  <c r="I47" i="13"/>
  <c r="H47" i="13"/>
  <c r="G47" i="13"/>
  <c r="F47" i="13"/>
  <c r="E47" i="13"/>
  <c r="V46" i="13"/>
  <c r="Q46" i="13"/>
  <c r="M46" i="13"/>
  <c r="N22" i="13" s="1"/>
  <c r="V45" i="13"/>
  <c r="Q45" i="13"/>
  <c r="M45" i="13"/>
  <c r="V44" i="13"/>
  <c r="Q44" i="13"/>
  <c r="M44" i="13"/>
  <c r="V43" i="13"/>
  <c r="Q43" i="13"/>
  <c r="M43" i="13"/>
  <c r="V42" i="13"/>
  <c r="Q42" i="13"/>
  <c r="M42" i="13"/>
  <c r="N18" i="13" s="1"/>
  <c r="V41" i="13"/>
  <c r="Q41" i="13"/>
  <c r="M41" i="13"/>
  <c r="V40" i="13"/>
  <c r="Q40" i="13"/>
  <c r="M40" i="13"/>
  <c r="V39" i="13"/>
  <c r="Q39" i="13"/>
  <c r="M39" i="13"/>
  <c r="V38" i="13"/>
  <c r="Q38" i="13"/>
  <c r="M38" i="13"/>
  <c r="N14" i="13" s="1"/>
  <c r="M33" i="13"/>
  <c r="K33" i="13"/>
  <c r="J33" i="13"/>
  <c r="I33" i="13"/>
  <c r="H33" i="13"/>
  <c r="G33" i="13"/>
  <c r="F33" i="13"/>
  <c r="E33" i="13"/>
  <c r="K32" i="13"/>
  <c r="J32" i="13"/>
  <c r="I32" i="13"/>
  <c r="H32" i="13"/>
  <c r="G32" i="13"/>
  <c r="F32" i="13"/>
  <c r="E32" i="13"/>
  <c r="M31" i="13"/>
  <c r="K31" i="13"/>
  <c r="J31" i="13"/>
  <c r="I31" i="13"/>
  <c r="H31" i="13"/>
  <c r="G31" i="13"/>
  <c r="F31" i="13"/>
  <c r="E31" i="13"/>
  <c r="K30" i="13"/>
  <c r="J30" i="13"/>
  <c r="I30" i="13"/>
  <c r="H30" i="13"/>
  <c r="G30" i="13"/>
  <c r="F30" i="13"/>
  <c r="E30" i="13"/>
  <c r="K29" i="13"/>
  <c r="J29" i="13"/>
  <c r="I29" i="13"/>
  <c r="H29" i="13"/>
  <c r="G29" i="13"/>
  <c r="F29" i="13"/>
  <c r="E29" i="13"/>
  <c r="K28" i="13"/>
  <c r="J28" i="13"/>
  <c r="I28" i="13"/>
  <c r="H28" i="13"/>
  <c r="G28" i="13"/>
  <c r="F28" i="13"/>
  <c r="E28" i="13"/>
  <c r="K27" i="13"/>
  <c r="J27" i="13"/>
  <c r="I27" i="13"/>
  <c r="H27" i="13"/>
  <c r="G27" i="13"/>
  <c r="F27" i="13"/>
  <c r="E27" i="13"/>
  <c r="K26" i="13"/>
  <c r="J26" i="13"/>
  <c r="I26" i="13"/>
  <c r="H26" i="13"/>
  <c r="G26" i="13"/>
  <c r="F26" i="13"/>
  <c r="E26" i="13"/>
  <c r="K25" i="13"/>
  <c r="J25" i="13"/>
  <c r="I25" i="13"/>
  <c r="H25" i="13"/>
  <c r="G25" i="13"/>
  <c r="F25" i="13"/>
  <c r="E25" i="13"/>
  <c r="K22" i="13"/>
  <c r="J22" i="13"/>
  <c r="I22" i="13"/>
  <c r="H22" i="13"/>
  <c r="G22" i="13"/>
  <c r="F22" i="13"/>
  <c r="E22" i="13"/>
  <c r="N21" i="13"/>
  <c r="K21" i="13"/>
  <c r="F21" i="13"/>
  <c r="E21" i="13"/>
  <c r="O21" i="13" s="1"/>
  <c r="N20" i="13"/>
  <c r="I20" i="13"/>
  <c r="H20" i="13"/>
  <c r="G20" i="13"/>
  <c r="N19" i="13"/>
  <c r="K19" i="13"/>
  <c r="J19" i="13"/>
  <c r="I19" i="13"/>
  <c r="H19" i="13"/>
  <c r="G19" i="13"/>
  <c r="F19" i="13"/>
  <c r="E19" i="13"/>
  <c r="K18" i="13"/>
  <c r="J18" i="13"/>
  <c r="I18" i="13"/>
  <c r="H18" i="13"/>
  <c r="G18" i="13"/>
  <c r="F18" i="13"/>
  <c r="E18" i="13"/>
  <c r="N17" i="13"/>
  <c r="K17" i="13"/>
  <c r="J17" i="13"/>
  <c r="I17" i="13"/>
  <c r="H17" i="13"/>
  <c r="G17" i="13"/>
  <c r="F17" i="13"/>
  <c r="E17" i="13"/>
  <c r="N16" i="13"/>
  <c r="K16" i="13"/>
  <c r="J16" i="13"/>
  <c r="I16" i="13"/>
  <c r="H16" i="13"/>
  <c r="G16" i="13"/>
  <c r="F16" i="13"/>
  <c r="E16" i="13"/>
  <c r="N15" i="13"/>
  <c r="K15" i="13"/>
  <c r="J15" i="13"/>
  <c r="I15" i="13"/>
  <c r="H15" i="13"/>
  <c r="G15" i="13"/>
  <c r="F15" i="13"/>
  <c r="E15" i="13"/>
  <c r="K14" i="13"/>
  <c r="J14" i="13"/>
  <c r="I14" i="13"/>
  <c r="H14" i="13"/>
  <c r="G14" i="13"/>
  <c r="F14" i="13"/>
  <c r="E14" i="13"/>
  <c r="E4" i="13"/>
  <c r="E3" i="13"/>
  <c r="J55" i="12"/>
  <c r="G55" i="12"/>
  <c r="E55" i="12"/>
  <c r="J51" i="12"/>
  <c r="G51" i="12"/>
  <c r="E51" i="12"/>
  <c r="N49" i="12"/>
  <c r="K47" i="12"/>
  <c r="J47" i="12"/>
  <c r="I47" i="12"/>
  <c r="H47" i="12"/>
  <c r="G47" i="12"/>
  <c r="F47" i="12"/>
  <c r="E47" i="12"/>
  <c r="V46" i="12"/>
  <c r="Q46" i="12"/>
  <c r="M46" i="12"/>
  <c r="V45" i="12"/>
  <c r="Q45" i="12"/>
  <c r="M45" i="12"/>
  <c r="V44" i="12"/>
  <c r="Q44" i="12"/>
  <c r="M44" i="12"/>
  <c r="N20" i="12" s="1"/>
  <c r="V43" i="12"/>
  <c r="Q43" i="12"/>
  <c r="M43" i="12"/>
  <c r="V42" i="12"/>
  <c r="Q42" i="12"/>
  <c r="M42" i="12"/>
  <c r="V41" i="12"/>
  <c r="Q41" i="12"/>
  <c r="M41" i="12"/>
  <c r="V40" i="12"/>
  <c r="Q40" i="12"/>
  <c r="M40" i="12"/>
  <c r="N16" i="12" s="1"/>
  <c r="V39" i="12"/>
  <c r="Q39" i="12"/>
  <c r="M39" i="12"/>
  <c r="V38" i="12"/>
  <c r="Q38" i="12"/>
  <c r="M38" i="12"/>
  <c r="M33" i="12"/>
  <c r="K33" i="12"/>
  <c r="J33" i="12"/>
  <c r="I33" i="12"/>
  <c r="H33" i="12"/>
  <c r="G33" i="12"/>
  <c r="F33" i="12"/>
  <c r="E33" i="12"/>
  <c r="K32" i="12"/>
  <c r="J32" i="12"/>
  <c r="I32" i="12"/>
  <c r="H32" i="12"/>
  <c r="G32" i="12"/>
  <c r="F32" i="12"/>
  <c r="E32" i="12"/>
  <c r="M31" i="12"/>
  <c r="K31" i="12"/>
  <c r="J31" i="12"/>
  <c r="I31" i="12"/>
  <c r="H31" i="12"/>
  <c r="G31" i="12"/>
  <c r="F31" i="12"/>
  <c r="E31" i="12"/>
  <c r="K30" i="12"/>
  <c r="J30" i="12"/>
  <c r="I30" i="12"/>
  <c r="H30" i="12"/>
  <c r="G30" i="12"/>
  <c r="F30" i="12"/>
  <c r="E30" i="12"/>
  <c r="K29" i="12"/>
  <c r="J29" i="12"/>
  <c r="I29" i="12"/>
  <c r="H29" i="12"/>
  <c r="G29" i="12"/>
  <c r="F29" i="12"/>
  <c r="E29" i="12"/>
  <c r="K28" i="12"/>
  <c r="J28" i="12"/>
  <c r="I28" i="12"/>
  <c r="H28" i="12"/>
  <c r="G28" i="12"/>
  <c r="F28" i="12"/>
  <c r="E28" i="12"/>
  <c r="K27" i="12"/>
  <c r="J27" i="12"/>
  <c r="I27" i="12"/>
  <c r="H27" i="12"/>
  <c r="G27" i="12"/>
  <c r="F27" i="12"/>
  <c r="E27" i="12"/>
  <c r="K26" i="12"/>
  <c r="J26" i="12"/>
  <c r="I26" i="12"/>
  <c r="H26" i="12"/>
  <c r="G26" i="12"/>
  <c r="F26" i="12"/>
  <c r="E26" i="12"/>
  <c r="N39" i="12" s="1"/>
  <c r="K25" i="12"/>
  <c r="J25" i="12"/>
  <c r="I25" i="12"/>
  <c r="H25" i="12"/>
  <c r="G25" i="12"/>
  <c r="F25" i="12"/>
  <c r="E25" i="12"/>
  <c r="N22" i="12"/>
  <c r="K22" i="12"/>
  <c r="J22" i="12"/>
  <c r="I22" i="12"/>
  <c r="H22" i="12"/>
  <c r="G22" i="12"/>
  <c r="F22" i="12"/>
  <c r="E22" i="12"/>
  <c r="O22" i="12" s="1"/>
  <c r="N21" i="12"/>
  <c r="K21" i="12"/>
  <c r="F21" i="12"/>
  <c r="E21" i="12"/>
  <c r="O21" i="12" s="1"/>
  <c r="I20" i="12"/>
  <c r="H20" i="12"/>
  <c r="G20" i="12"/>
  <c r="N19" i="12"/>
  <c r="K19" i="12"/>
  <c r="J19" i="12"/>
  <c r="I19" i="12"/>
  <c r="H19" i="12"/>
  <c r="G19" i="12"/>
  <c r="F19" i="12"/>
  <c r="E19" i="12"/>
  <c r="N18" i="12"/>
  <c r="K18" i="12"/>
  <c r="J18" i="12"/>
  <c r="I18" i="12"/>
  <c r="H18" i="12"/>
  <c r="G18" i="12"/>
  <c r="F18" i="12"/>
  <c r="E18" i="12"/>
  <c r="N17" i="12"/>
  <c r="K17" i="12"/>
  <c r="J17" i="12"/>
  <c r="I17" i="12"/>
  <c r="H17" i="12"/>
  <c r="G17" i="12"/>
  <c r="F17" i="12"/>
  <c r="E17" i="12"/>
  <c r="K16" i="12"/>
  <c r="J16" i="12"/>
  <c r="I16" i="12"/>
  <c r="H16" i="12"/>
  <c r="G16" i="12"/>
  <c r="F16" i="12"/>
  <c r="E16" i="12"/>
  <c r="N15" i="12"/>
  <c r="K15" i="12"/>
  <c r="J15" i="12"/>
  <c r="I15" i="12"/>
  <c r="H15" i="12"/>
  <c r="G15" i="12"/>
  <c r="F15" i="12"/>
  <c r="E15" i="12"/>
  <c r="N14" i="12"/>
  <c r="K14" i="12"/>
  <c r="J14" i="12"/>
  <c r="I14" i="12"/>
  <c r="H14" i="12"/>
  <c r="G14" i="12"/>
  <c r="F14" i="12"/>
  <c r="E14" i="12"/>
  <c r="E4" i="12"/>
  <c r="E3" i="12"/>
  <c r="J55" i="17"/>
  <c r="G55" i="17"/>
  <c r="E55" i="17"/>
  <c r="J51" i="17"/>
  <c r="G51" i="17"/>
  <c r="E51" i="17"/>
  <c r="K47" i="17"/>
  <c r="J47" i="17"/>
  <c r="I47" i="17"/>
  <c r="H47" i="17"/>
  <c r="G47" i="17"/>
  <c r="F47" i="17"/>
  <c r="E47" i="17"/>
  <c r="V46" i="17"/>
  <c r="Q46" i="17"/>
  <c r="M46" i="17"/>
  <c r="N22" i="17" s="1"/>
  <c r="V45" i="17"/>
  <c r="Q45" i="17"/>
  <c r="M45" i="17"/>
  <c r="N21" i="17" s="1"/>
  <c r="V44" i="17"/>
  <c r="Q44" i="17"/>
  <c r="M44" i="17"/>
  <c r="N20" i="17" s="1"/>
  <c r="V43" i="17"/>
  <c r="Q43" i="17"/>
  <c r="M43" i="17"/>
  <c r="N19" i="17" s="1"/>
  <c r="V42" i="17"/>
  <c r="Q42" i="17"/>
  <c r="M42" i="17"/>
  <c r="N18" i="17" s="1"/>
  <c r="V41" i="17"/>
  <c r="Q41" i="17"/>
  <c r="M41" i="17"/>
  <c r="N17" i="17" s="1"/>
  <c r="V40" i="17"/>
  <c r="Q40" i="17"/>
  <c r="M40" i="17"/>
  <c r="N16" i="17" s="1"/>
  <c r="V39" i="17"/>
  <c r="Q39" i="17"/>
  <c r="M39" i="17"/>
  <c r="V38" i="17"/>
  <c r="Q38" i="17"/>
  <c r="M38" i="17"/>
  <c r="M33" i="17"/>
  <c r="K33" i="17"/>
  <c r="J33" i="17"/>
  <c r="I33" i="17"/>
  <c r="H33" i="17"/>
  <c r="G33" i="17"/>
  <c r="F33" i="17"/>
  <c r="E33" i="17"/>
  <c r="N46" i="17" s="1"/>
  <c r="K32" i="17"/>
  <c r="J32" i="17"/>
  <c r="I32" i="17"/>
  <c r="H32" i="17"/>
  <c r="G32" i="17"/>
  <c r="F32" i="17"/>
  <c r="E32" i="17"/>
  <c r="M31" i="17"/>
  <c r="K31" i="17"/>
  <c r="J31" i="17"/>
  <c r="I31" i="17"/>
  <c r="H31" i="17"/>
  <c r="G31" i="17"/>
  <c r="F31" i="17"/>
  <c r="E31" i="17"/>
  <c r="K30" i="17"/>
  <c r="J30" i="17"/>
  <c r="I30" i="17"/>
  <c r="H30" i="17"/>
  <c r="G30" i="17"/>
  <c r="F30" i="17"/>
  <c r="E30" i="17"/>
  <c r="K29" i="17"/>
  <c r="J29" i="17"/>
  <c r="I29" i="17"/>
  <c r="H29" i="17"/>
  <c r="G29" i="17"/>
  <c r="F29" i="17"/>
  <c r="E29" i="17"/>
  <c r="K28" i="17"/>
  <c r="J28" i="17"/>
  <c r="I28" i="17"/>
  <c r="H28" i="17"/>
  <c r="G28" i="17"/>
  <c r="F28" i="17"/>
  <c r="E28" i="17"/>
  <c r="K27" i="17"/>
  <c r="J27" i="17"/>
  <c r="I27" i="17"/>
  <c r="H27" i="17"/>
  <c r="G27" i="17"/>
  <c r="F27" i="17"/>
  <c r="E27" i="17"/>
  <c r="K26" i="17"/>
  <c r="J26" i="17"/>
  <c r="I26" i="17"/>
  <c r="H26" i="17"/>
  <c r="G26" i="17"/>
  <c r="F26" i="17"/>
  <c r="E26" i="17"/>
  <c r="K25" i="17"/>
  <c r="J25" i="17"/>
  <c r="I25" i="17"/>
  <c r="H25" i="17"/>
  <c r="G25" i="17"/>
  <c r="F25" i="17"/>
  <c r="E25" i="17"/>
  <c r="K22" i="17"/>
  <c r="J22" i="17"/>
  <c r="I22" i="17"/>
  <c r="H22" i="17"/>
  <c r="G22" i="17"/>
  <c r="F22" i="17"/>
  <c r="E22" i="17"/>
  <c r="K21" i="17"/>
  <c r="F21" i="17"/>
  <c r="E21" i="17"/>
  <c r="I20" i="17"/>
  <c r="H20" i="17"/>
  <c r="G20" i="17"/>
  <c r="O20" i="17" s="1"/>
  <c r="K19" i="17"/>
  <c r="J19" i="17"/>
  <c r="I19" i="17"/>
  <c r="H19" i="17"/>
  <c r="G19" i="17"/>
  <c r="F19" i="17"/>
  <c r="E19" i="17"/>
  <c r="K18" i="17"/>
  <c r="J18" i="17"/>
  <c r="I18" i="17"/>
  <c r="H18" i="17"/>
  <c r="G18" i="17"/>
  <c r="F18" i="17"/>
  <c r="E18" i="17"/>
  <c r="K17" i="17"/>
  <c r="J17" i="17"/>
  <c r="I17" i="17"/>
  <c r="H17" i="17"/>
  <c r="G17" i="17"/>
  <c r="F17" i="17"/>
  <c r="E17" i="17"/>
  <c r="K16" i="17"/>
  <c r="J16" i="17"/>
  <c r="I16" i="17"/>
  <c r="H16" i="17"/>
  <c r="G16" i="17"/>
  <c r="F16" i="17"/>
  <c r="E16" i="17"/>
  <c r="N15" i="17"/>
  <c r="K15" i="17"/>
  <c r="J15" i="17"/>
  <c r="I15" i="17"/>
  <c r="H15" i="17"/>
  <c r="G15" i="17"/>
  <c r="F15" i="17"/>
  <c r="E15" i="17"/>
  <c r="K14" i="17"/>
  <c r="J14" i="17"/>
  <c r="I14" i="17"/>
  <c r="H14" i="17"/>
  <c r="G14" i="17"/>
  <c r="F14" i="17"/>
  <c r="E14" i="17"/>
  <c r="E4" i="17"/>
  <c r="E3" i="17"/>
  <c r="J55" i="10"/>
  <c r="G55" i="10"/>
  <c r="E55" i="10"/>
  <c r="J51" i="10"/>
  <c r="G51" i="10"/>
  <c r="E51" i="10"/>
  <c r="K47" i="10"/>
  <c r="J47" i="10"/>
  <c r="I47" i="10"/>
  <c r="H47" i="10"/>
  <c r="G47" i="10"/>
  <c r="F47" i="10"/>
  <c r="E47" i="10"/>
  <c r="V46" i="10"/>
  <c r="Q46" i="10"/>
  <c r="M46" i="10"/>
  <c r="V45" i="10"/>
  <c r="Q45" i="10"/>
  <c r="M45" i="10"/>
  <c r="V44" i="10"/>
  <c r="Q44" i="10"/>
  <c r="M44" i="10"/>
  <c r="V43" i="10"/>
  <c r="Q43" i="10"/>
  <c r="M43" i="10"/>
  <c r="N19" i="10" s="1"/>
  <c r="V42" i="10"/>
  <c r="Q42" i="10"/>
  <c r="N42" i="10"/>
  <c r="M42" i="10"/>
  <c r="V41" i="10"/>
  <c r="Q41" i="10"/>
  <c r="M41" i="10"/>
  <c r="N17" i="10" s="1"/>
  <c r="V40" i="10"/>
  <c r="Q40" i="10"/>
  <c r="M40" i="10"/>
  <c r="V39" i="10"/>
  <c r="Q39" i="10"/>
  <c r="M39" i="10"/>
  <c r="V38" i="10"/>
  <c r="Q38" i="10"/>
  <c r="M38" i="10"/>
  <c r="M33" i="10"/>
  <c r="K33" i="10"/>
  <c r="J33" i="10"/>
  <c r="I33" i="10"/>
  <c r="H33" i="10"/>
  <c r="G33" i="10"/>
  <c r="F33" i="10"/>
  <c r="E33" i="10"/>
  <c r="K32" i="10"/>
  <c r="J32" i="10"/>
  <c r="I32" i="10"/>
  <c r="H32" i="10"/>
  <c r="G32" i="10"/>
  <c r="F32" i="10"/>
  <c r="E32" i="10"/>
  <c r="M31" i="10"/>
  <c r="K31" i="10"/>
  <c r="J31" i="10"/>
  <c r="I31" i="10"/>
  <c r="H31" i="10"/>
  <c r="G31" i="10"/>
  <c r="F31" i="10"/>
  <c r="E31" i="10"/>
  <c r="N44" i="10" s="1"/>
  <c r="K30" i="10"/>
  <c r="J30" i="10"/>
  <c r="I30" i="10"/>
  <c r="H30" i="10"/>
  <c r="G30" i="10"/>
  <c r="F30" i="10"/>
  <c r="E30" i="10"/>
  <c r="K29" i="10"/>
  <c r="J29" i="10"/>
  <c r="I29" i="10"/>
  <c r="H29" i="10"/>
  <c r="G29" i="10"/>
  <c r="F29" i="10"/>
  <c r="E29" i="10"/>
  <c r="K28" i="10"/>
  <c r="J28" i="10"/>
  <c r="I28" i="10"/>
  <c r="H28" i="10"/>
  <c r="G28" i="10"/>
  <c r="F28" i="10"/>
  <c r="E28" i="10"/>
  <c r="K27" i="10"/>
  <c r="J27" i="10"/>
  <c r="I27" i="10"/>
  <c r="H27" i="10"/>
  <c r="G27" i="10"/>
  <c r="F27" i="10"/>
  <c r="E27" i="10"/>
  <c r="K26" i="10"/>
  <c r="J26" i="10"/>
  <c r="I26" i="10"/>
  <c r="H26" i="10"/>
  <c r="G26" i="10"/>
  <c r="F26" i="10"/>
  <c r="E26" i="10"/>
  <c r="N39" i="10" s="1"/>
  <c r="K25" i="10"/>
  <c r="J25" i="10"/>
  <c r="I25" i="10"/>
  <c r="H25" i="10"/>
  <c r="G25" i="10"/>
  <c r="F25" i="10"/>
  <c r="E25" i="10"/>
  <c r="N38" i="10" s="1"/>
  <c r="N22" i="10"/>
  <c r="K22" i="10"/>
  <c r="J22" i="10"/>
  <c r="I22" i="10"/>
  <c r="H22" i="10"/>
  <c r="G22" i="10"/>
  <c r="F22" i="10"/>
  <c r="E22" i="10"/>
  <c r="O22" i="10" s="1"/>
  <c r="N21" i="10"/>
  <c r="K21" i="10"/>
  <c r="F21" i="10"/>
  <c r="E21" i="10"/>
  <c r="N20" i="10"/>
  <c r="I20" i="10"/>
  <c r="H20" i="10"/>
  <c r="G20" i="10"/>
  <c r="O20" i="10" s="1"/>
  <c r="O19" i="10"/>
  <c r="K19" i="10"/>
  <c r="J19" i="10"/>
  <c r="I19" i="10"/>
  <c r="H19" i="10"/>
  <c r="G19" i="10"/>
  <c r="F19" i="10"/>
  <c r="E19" i="10"/>
  <c r="N18" i="10"/>
  <c r="K18" i="10"/>
  <c r="J18" i="10"/>
  <c r="I18" i="10"/>
  <c r="H18" i="10"/>
  <c r="G18" i="10"/>
  <c r="F18" i="10"/>
  <c r="E18" i="10"/>
  <c r="O18" i="10" s="1"/>
  <c r="K17" i="10"/>
  <c r="J17" i="10"/>
  <c r="I17" i="10"/>
  <c r="H17" i="10"/>
  <c r="G17" i="10"/>
  <c r="F17" i="10"/>
  <c r="E17" i="10"/>
  <c r="N16" i="10"/>
  <c r="K16" i="10"/>
  <c r="J16" i="10"/>
  <c r="I16" i="10"/>
  <c r="H16" i="10"/>
  <c r="G16" i="10"/>
  <c r="F16" i="10"/>
  <c r="E16" i="10"/>
  <c r="N15" i="10"/>
  <c r="K15" i="10"/>
  <c r="J15" i="10"/>
  <c r="I15" i="10"/>
  <c r="H15" i="10"/>
  <c r="G15" i="10"/>
  <c r="F15" i="10"/>
  <c r="E15" i="10"/>
  <c r="N14" i="10"/>
  <c r="K14" i="10"/>
  <c r="J14" i="10"/>
  <c r="I14" i="10"/>
  <c r="H14" i="10"/>
  <c r="G14" i="10"/>
  <c r="F14" i="10"/>
  <c r="E14" i="10"/>
  <c r="E4" i="10"/>
  <c r="E3" i="10"/>
  <c r="E14" i="5"/>
  <c r="E13" i="5"/>
  <c r="O16" i="10" l="1"/>
  <c r="O17" i="10"/>
  <c r="N38" i="17"/>
  <c r="N44" i="17"/>
  <c r="N45" i="17"/>
  <c r="O17" i="12"/>
  <c r="O18" i="12"/>
  <c r="O19" i="12"/>
  <c r="O20" i="12"/>
  <c r="N38" i="12"/>
  <c r="N40" i="12"/>
  <c r="N39" i="13"/>
  <c r="N42" i="13"/>
  <c r="N38" i="15"/>
  <c r="M47" i="17"/>
  <c r="N46" i="10"/>
  <c r="O19" i="17"/>
  <c r="N43" i="17"/>
  <c r="O14" i="12"/>
  <c r="O15" i="12"/>
  <c r="O16" i="12"/>
  <c r="N44" i="12"/>
  <c r="N45" i="12"/>
  <c r="N46" i="12"/>
  <c r="N38" i="13"/>
  <c r="N40" i="13"/>
  <c r="O21" i="15"/>
  <c r="O14" i="17"/>
  <c r="N40" i="10"/>
  <c r="N43" i="10"/>
  <c r="O18" i="17"/>
  <c r="N42" i="17"/>
  <c r="N43" i="12"/>
  <c r="O15" i="13"/>
  <c r="O16" i="13"/>
  <c r="O17" i="13"/>
  <c r="O18" i="13"/>
  <c r="O19" i="13"/>
  <c r="O20" i="13"/>
  <c r="O22" i="13"/>
  <c r="O17" i="17"/>
  <c r="O22" i="17"/>
  <c r="N41" i="17"/>
  <c r="N42" i="12"/>
  <c r="N47" i="12" s="1"/>
  <c r="O14" i="13"/>
  <c r="N44" i="13"/>
  <c r="N45" i="13"/>
  <c r="N46" i="13"/>
  <c r="N42" i="15"/>
  <c r="F9" i="22"/>
  <c r="F10" i="22" s="1"/>
  <c r="F11" i="22" s="1"/>
  <c r="O15" i="10"/>
  <c r="N41" i="10"/>
  <c r="N47" i="10" s="1"/>
  <c r="M47" i="10"/>
  <c r="O15" i="17"/>
  <c r="O16" i="17"/>
  <c r="N40" i="17"/>
  <c r="N43" i="13"/>
  <c r="N40" i="15"/>
  <c r="N45" i="10"/>
  <c r="O14" i="10"/>
  <c r="O21" i="10"/>
  <c r="O21" i="17"/>
  <c r="N39" i="17"/>
  <c r="N41" i="12"/>
  <c r="O14" i="15"/>
  <c r="O15" i="15"/>
  <c r="O16" i="15"/>
  <c r="O17" i="15"/>
  <c r="O18" i="15"/>
  <c r="O19" i="15"/>
  <c r="O22" i="15"/>
  <c r="O20" i="15"/>
  <c r="N41" i="13"/>
  <c r="N23" i="15"/>
  <c r="M27" i="15" s="1"/>
  <c r="N23" i="10"/>
  <c r="M27" i="10" s="1"/>
  <c r="N23" i="12"/>
  <c r="M27" i="12" s="1"/>
  <c r="N23" i="13"/>
  <c r="M27" i="13" s="1"/>
  <c r="N14" i="17"/>
  <c r="N23" i="17" s="1"/>
  <c r="M27" i="17" s="1"/>
  <c r="C19" i="18"/>
  <c r="C20" i="18"/>
  <c r="N47" i="15" l="1"/>
  <c r="D18" i="18" s="1"/>
  <c r="N47" i="17"/>
  <c r="N47" i="13"/>
  <c r="D19" i="18" s="1"/>
  <c r="D20" i="18"/>
  <c r="C17" i="18" l="1"/>
  <c r="D17" i="18"/>
</calcChain>
</file>

<file path=xl/sharedStrings.xml><?xml version="1.0" encoding="utf-8"?>
<sst xmlns="http://schemas.openxmlformats.org/spreadsheetml/2006/main" count="1256" uniqueCount="336">
  <si>
    <t>Product</t>
  </si>
  <si>
    <t>Weight/ Metric Ton</t>
  </si>
  <si>
    <t>LCD32"</t>
  </si>
  <si>
    <t>LCD42"</t>
  </si>
  <si>
    <t>Budget</t>
  </si>
  <si>
    <t>Regular Air</t>
  </si>
  <si>
    <t>Air Express</t>
  </si>
  <si>
    <t>Road</t>
  </si>
  <si>
    <t>Road LTL</t>
  </si>
  <si>
    <t>Road-Network</t>
  </si>
  <si>
    <t>Rail</t>
  </si>
  <si>
    <t>Water</t>
  </si>
  <si>
    <t>Shipping Cost/ Metric Ton CNY</t>
  </si>
  <si>
    <t>Product - ODM</t>
  </si>
  <si>
    <t>Distance to DC in Kilometers</t>
  </si>
  <si>
    <t>TV Unit Production Cost CNY</t>
  </si>
  <si>
    <t>LCD32" - ODM1</t>
  </si>
  <si>
    <t>LCD32" - ODM2</t>
  </si>
  <si>
    <t>LCD42" - ODM1</t>
  </si>
  <si>
    <t>LCD42" - ODM2</t>
  </si>
  <si>
    <t>LCD42" - ODM3</t>
  </si>
  <si>
    <t>LCD42" - ODM4</t>
  </si>
  <si>
    <t>LCD42" - ODM5</t>
  </si>
  <si>
    <t>X</t>
  </si>
  <si>
    <t>LCD42" - ODM6</t>
  </si>
  <si>
    <t>LCD42" - ODM7</t>
  </si>
  <si>
    <t>Supply Chain Production &amp; Shipping Constraints</t>
  </si>
  <si>
    <t>Minimum production at any manufacturing ODM</t>
  </si>
  <si>
    <t>units</t>
  </si>
  <si>
    <t>Maximum production at any manufacturing ODM</t>
  </si>
  <si>
    <t>Minimum # of units to be shipped by Regular Air or Air Express</t>
  </si>
  <si>
    <t>Minimum # of units to be shipped by Road or Road LTL or Road Network</t>
  </si>
  <si>
    <t>Minimum # of unitits to be shipped by Rail</t>
  </si>
  <si>
    <t>Inputs</t>
  </si>
  <si>
    <t>&lt;=</t>
  </si>
  <si>
    <t>Co2 Emission in Kg/Ton: Kim Shipped</t>
  </si>
  <si>
    <t>Total Production</t>
  </si>
  <si>
    <t xml:space="preserve">Total units shipped </t>
  </si>
  <si>
    <t>Total Cost</t>
  </si>
  <si>
    <t>Shipping Cost/unit CNY</t>
  </si>
  <si>
    <t>DecisionVariables</t>
  </si>
  <si>
    <t>Decision: # of units produced at ODM i shipped by transportation mode j</t>
  </si>
  <si>
    <t>Transportation Modes j</t>
  </si>
  <si>
    <t>Product - ODM i</t>
  </si>
  <si>
    <t>Demand</t>
  </si>
  <si>
    <t>Demand Constraint</t>
  </si>
  <si>
    <t>=</t>
  </si>
  <si>
    <t>Budget constraint</t>
  </si>
  <si>
    <t>≥</t>
  </si>
  <si>
    <t>≤</t>
  </si>
  <si>
    <t>Minimum Production=200,000</t>
  </si>
  <si>
    <t>Maximum Production=600,000</t>
  </si>
  <si>
    <t>ODM Production Constraints</t>
  </si>
  <si>
    <t xml:space="preserve">Total Units/Ton </t>
  </si>
  <si>
    <t>LHS</t>
  </si>
  <si>
    <t>RHS</t>
  </si>
  <si>
    <t>Production Cost</t>
  </si>
  <si>
    <t>Shipping Cost</t>
  </si>
  <si>
    <t>OBJECTIVE FUNCTION</t>
  </si>
  <si>
    <t>Regular Air/Air Express</t>
  </si>
  <si>
    <t>Shipping Capacity Constraints</t>
  </si>
  <si>
    <t>Road/Road LTL/Road-Network</t>
  </si>
  <si>
    <t>ODM (1=Open)</t>
  </si>
  <si>
    <t>Min Capacity to be shipped for LCD32"</t>
  </si>
  <si>
    <t>Min Capacity to be shipped for LCD42"</t>
  </si>
  <si>
    <t>Microsoft Excel 16.16 Linearity Report</t>
  </si>
  <si>
    <t>Worksheet: [Case Study Solution.xlsx]Case Study Model</t>
  </si>
  <si>
    <t>Report Created: 11/15/18 11:44:36 AM</t>
  </si>
  <si>
    <t>Objective Cell (Min)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</si>
  <si>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</si>
  <si>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</si>
  <si>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</si>
  <si>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</si>
  <si>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</si>
  <si>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</si>
  <si>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</si>
  <si>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Constraints</t>
  </si>
  <si>
    <t>Cell Value</t>
  </si>
  <si>
    <t>Formula</t>
  </si>
  <si>
    <t>$N$23</t>
  </si>
  <si>
    <t>Total Cost Production Cost</t>
  </si>
  <si>
    <t>Yes</t>
  </si>
  <si>
    <t>$E$33</t>
  </si>
  <si>
    <t>LCD32" - ODM1 Regular Air</t>
  </si>
  <si>
    <t>$F$33</t>
  </si>
  <si>
    <t>LCD32" - ODM1 Air Express</t>
  </si>
  <si>
    <t>$G$33</t>
  </si>
  <si>
    <t>LCD32" - ODM1 Road</t>
  </si>
  <si>
    <t>$H$33</t>
  </si>
  <si>
    <t>LCD32" - ODM1 Road LTL</t>
  </si>
  <si>
    <t>$I$33</t>
  </si>
  <si>
    <t>LCD32" - ODM1 Road-Network</t>
  </si>
  <si>
    <t>$J$33</t>
  </si>
  <si>
    <t>LCD32" - ODM1 Rail</t>
  </si>
  <si>
    <t>$K$33</t>
  </si>
  <si>
    <t>LCD32" - ODM1 Water</t>
  </si>
  <si>
    <t>$L$33</t>
  </si>
  <si>
    <t>LCD32" - ODM1 ODM (1=Open)</t>
  </si>
  <si>
    <t>No</t>
  </si>
  <si>
    <t>$E$34</t>
  </si>
  <si>
    <t>LCD32" - ODM2 Regular Air</t>
  </si>
  <si>
    <t>$F$34</t>
  </si>
  <si>
    <t>LCD32" - ODM2 Air Express</t>
  </si>
  <si>
    <t>$G$34</t>
  </si>
  <si>
    <t>LCD32" - ODM2 Road</t>
  </si>
  <si>
    <t>$H$34</t>
  </si>
  <si>
    <t>LCD32" - ODM2 Road LTL</t>
  </si>
  <si>
    <t>$I$34</t>
  </si>
  <si>
    <t>LCD32" - ODM2 Road-Network</t>
  </si>
  <si>
    <t>$J$34</t>
  </si>
  <si>
    <t>LCD32" - ODM2 Rail</t>
  </si>
  <si>
    <t>$K$34</t>
  </si>
  <si>
    <t>LCD32" - ODM2 Water</t>
  </si>
  <si>
    <t>$L$34</t>
  </si>
  <si>
    <t>LCD32" - ODM2 ODM (1=Open)</t>
  </si>
  <si>
    <t>$E$35</t>
  </si>
  <si>
    <t>LCD42" - ODM1 Regular Air</t>
  </si>
  <si>
    <t>$F$35</t>
  </si>
  <si>
    <t>LCD42" - ODM1 Air Express</t>
  </si>
  <si>
    <t>$G$35</t>
  </si>
  <si>
    <t>LCD42" - ODM1 Road</t>
  </si>
  <si>
    <t>$H$35</t>
  </si>
  <si>
    <t>LCD42" - ODM1 Road LTL</t>
  </si>
  <si>
    <t>$I$35</t>
  </si>
  <si>
    <t>LCD42" - ODM1 Road-Network</t>
  </si>
  <si>
    <t>$J$35</t>
  </si>
  <si>
    <t>LCD42" - ODM1 Rail</t>
  </si>
  <si>
    <t>$K$35</t>
  </si>
  <si>
    <t>LCD42" - ODM1 Water</t>
  </si>
  <si>
    <t>$L$35</t>
  </si>
  <si>
    <t>LCD42" - ODM1 ODM (1=Open)</t>
  </si>
  <si>
    <t>$E$36</t>
  </si>
  <si>
    <t>LCD42" - ODM2 Regular Air</t>
  </si>
  <si>
    <t>$F$36</t>
  </si>
  <si>
    <t>LCD42" - ODM2 Air Express</t>
  </si>
  <si>
    <t>$G$36</t>
  </si>
  <si>
    <t>LCD42" - ODM2 Road</t>
  </si>
  <si>
    <t>$H$36</t>
  </si>
  <si>
    <t>LCD42" - ODM2 Road LTL</t>
  </si>
  <si>
    <t>$I$36</t>
  </si>
  <si>
    <t>LCD42" - ODM2 Road-Network</t>
  </si>
  <si>
    <t>$J$36</t>
  </si>
  <si>
    <t>LCD42" - ODM2 Rail</t>
  </si>
  <si>
    <t>$K$36</t>
  </si>
  <si>
    <t>LCD42" - ODM2 Water</t>
  </si>
  <si>
    <t>$L$36</t>
  </si>
  <si>
    <t>LCD42" - ODM2 ODM (1=Open)</t>
  </si>
  <si>
    <t>$E$37</t>
  </si>
  <si>
    <t>LCD42" - ODM3 Regular Air</t>
  </si>
  <si>
    <t>$F$37</t>
  </si>
  <si>
    <t>LCD42" - ODM3 Air Express</t>
  </si>
  <si>
    <t>$G$37</t>
  </si>
  <si>
    <t>LCD42" - ODM3 Road</t>
  </si>
  <si>
    <t>$H$37</t>
  </si>
  <si>
    <t>LCD42" - ODM3 Road LTL</t>
  </si>
  <si>
    <t>$I$37</t>
  </si>
  <si>
    <t>LCD42" - ODM3 Road-Network</t>
  </si>
  <si>
    <t>$J$37</t>
  </si>
  <si>
    <t>LCD42" - ODM3 Rail</t>
  </si>
  <si>
    <t>$K$37</t>
  </si>
  <si>
    <t>LCD42" - ODM3 Water</t>
  </si>
  <si>
    <t>$L$37</t>
  </si>
  <si>
    <t>LCD42" - ODM3 ODM (1=Open)</t>
  </si>
  <si>
    <t>$E$38</t>
  </si>
  <si>
    <t>LCD42" - ODM4 Regular Air</t>
  </si>
  <si>
    <t>$F$38</t>
  </si>
  <si>
    <t>LCD42" - ODM4 Air Express</t>
  </si>
  <si>
    <t>$G$38</t>
  </si>
  <si>
    <t>LCD42" - ODM4 Road</t>
  </si>
  <si>
    <t>$H$38</t>
  </si>
  <si>
    <t>LCD42" - ODM4 Road LTL</t>
  </si>
  <si>
    <t>$I$38</t>
  </si>
  <si>
    <t>LCD42" - ODM4 Road-Network</t>
  </si>
  <si>
    <t>$J$38</t>
  </si>
  <si>
    <t>LCD42" - ODM4 Rail</t>
  </si>
  <si>
    <t>$K$38</t>
  </si>
  <si>
    <t>LCD42" - ODM4 Water</t>
  </si>
  <si>
    <t>$L$38</t>
  </si>
  <si>
    <t>LCD42" - ODM4 ODM (1=Open)</t>
  </si>
  <si>
    <t>$E$39</t>
  </si>
  <si>
    <t>LCD42" - ODM5 Regular Air</t>
  </si>
  <si>
    <t>$F$39</t>
  </si>
  <si>
    <t>LCD42" - ODM5 Air Express</t>
  </si>
  <si>
    <t>$G$39</t>
  </si>
  <si>
    <t>LCD42" - ODM5 Road</t>
  </si>
  <si>
    <t>$H$39</t>
  </si>
  <si>
    <t>LCD42" - ODM5 Road LTL</t>
  </si>
  <si>
    <t>$I$39</t>
  </si>
  <si>
    <t>LCD42" - ODM5 Road-Network</t>
  </si>
  <si>
    <t>$J$39</t>
  </si>
  <si>
    <t>LCD42" - ODM5 Rail</t>
  </si>
  <si>
    <t>$K$39</t>
  </si>
  <si>
    <t>LCD42" - ODM5 Water</t>
  </si>
  <si>
    <t>$L$39</t>
  </si>
  <si>
    <t>LCD42" - ODM5 ODM (1=Open)</t>
  </si>
  <si>
    <t>$E$40</t>
  </si>
  <si>
    <t>LCD42" - ODM6 Regular Air</t>
  </si>
  <si>
    <t>$F$40</t>
  </si>
  <si>
    <t>LCD42" - ODM6 Air Express</t>
  </si>
  <si>
    <t>$G$40</t>
  </si>
  <si>
    <t>LCD42" - ODM6 Road</t>
  </si>
  <si>
    <t>$H$40</t>
  </si>
  <si>
    <t>LCD42" - ODM6 Road LTL</t>
  </si>
  <si>
    <t>$I$40</t>
  </si>
  <si>
    <t>LCD42" - ODM6 Road-Network</t>
  </si>
  <si>
    <t>$J$40</t>
  </si>
  <si>
    <t>LCD42" - ODM6 Rail</t>
  </si>
  <si>
    <t>$K$40</t>
  </si>
  <si>
    <t>LCD42" - ODM6 Water</t>
  </si>
  <si>
    <t>$L$40</t>
  </si>
  <si>
    <t>LCD42" - ODM6 ODM (1=Open)</t>
  </si>
  <si>
    <t>$E$41</t>
  </si>
  <si>
    <t>LCD42" - ODM7 Regular Air</t>
  </si>
  <si>
    <t>$F$41</t>
  </si>
  <si>
    <t>LCD42" - ODM7 Air Express</t>
  </si>
  <si>
    <t>$G$41</t>
  </si>
  <si>
    <t>LCD42" - ODM7 Road</t>
  </si>
  <si>
    <t>$H$41</t>
  </si>
  <si>
    <t>LCD42" - ODM7 Road LTL</t>
  </si>
  <si>
    <t>$I$41</t>
  </si>
  <si>
    <t>LCD42" - ODM7 Road-Network</t>
  </si>
  <si>
    <t>$J$41</t>
  </si>
  <si>
    <t>LCD42" - ODM7 Rail</t>
  </si>
  <si>
    <t>$K$41</t>
  </si>
  <si>
    <t>LCD42" - ODM7 Water</t>
  </si>
  <si>
    <t>$L$41</t>
  </si>
  <si>
    <t>LCD42" - ODM7 ODM (1=Open)</t>
  </si>
  <si>
    <t>$D$25</t>
  </si>
  <si>
    <t>$D$25&lt;=$F$25</t>
  </si>
  <si>
    <t>$E$46</t>
  </si>
  <si>
    <t>$E$46&gt;=0</t>
  </si>
  <si>
    <t>$F$46</t>
  </si>
  <si>
    <t>$F$46&gt;=0</t>
  </si>
  <si>
    <t>$G$46</t>
  </si>
  <si>
    <t>$G$46&gt;=0</t>
  </si>
  <si>
    <t>$H$46</t>
  </si>
  <si>
    <t>$H$46&gt;=0</t>
  </si>
  <si>
    <t>$I$46</t>
  </si>
  <si>
    <t>$I$46&gt;=0</t>
  </si>
  <si>
    <t>$J$46</t>
  </si>
  <si>
    <t>$J$46&gt;=0</t>
  </si>
  <si>
    <t>$E$50</t>
  </si>
  <si>
    <t>$E$50&gt;=0</t>
  </si>
  <si>
    <t>$F$50</t>
  </si>
  <si>
    <t>$F$50&gt;=0</t>
  </si>
  <si>
    <t>$G$50</t>
  </si>
  <si>
    <t>$G$50&gt;=0</t>
  </si>
  <si>
    <t>$H$50</t>
  </si>
  <si>
    <t>$H$50&gt;=0</t>
  </si>
  <si>
    <t>$I$50</t>
  </si>
  <si>
    <t>$I$50&gt;=0</t>
  </si>
  <si>
    <t>$J$50</t>
  </si>
  <si>
    <t>$J$50&gt;=0</t>
  </si>
  <si>
    <t>$I$26</t>
  </si>
  <si>
    <t>$I$26=$K$26</t>
  </si>
  <si>
    <t>$I$28</t>
  </si>
  <si>
    <t>$I$28=$K$28</t>
  </si>
  <si>
    <t>$P$33</t>
  </si>
  <si>
    <t>LCD32" - ODM1 LHS</t>
  </si>
  <si>
    <t>$P$33&gt;=$R$33</t>
  </si>
  <si>
    <t>$P$34</t>
  </si>
  <si>
    <t>LCD32" - ODM2 LHS</t>
  </si>
  <si>
    <t>$P$34&gt;=$R$34</t>
  </si>
  <si>
    <t>$P$35</t>
  </si>
  <si>
    <t>LCD42" - ODM1 LHS</t>
  </si>
  <si>
    <t>$P$35&gt;=$R$35</t>
  </si>
  <si>
    <t>$P$36</t>
  </si>
  <si>
    <t>LCD42" - ODM2 LHS</t>
  </si>
  <si>
    <t>$P$36&gt;=$R$36</t>
  </si>
  <si>
    <t>$P$37</t>
  </si>
  <si>
    <t>LCD42" - ODM3 LHS</t>
  </si>
  <si>
    <t>$P$37&gt;=$R$37</t>
  </si>
  <si>
    <t>$P$38</t>
  </si>
  <si>
    <t>LCD42" - ODM4 LHS</t>
  </si>
  <si>
    <t>$P$38&gt;=$R$38</t>
  </si>
  <si>
    <t>$P$39</t>
  </si>
  <si>
    <t>LCD42" - ODM5 LHS</t>
  </si>
  <si>
    <t>$P$39&gt;=$R$39</t>
  </si>
  <si>
    <t>$P$40</t>
  </si>
  <si>
    <t>LCD42" - ODM6 LHS</t>
  </si>
  <si>
    <t>$P$40&gt;=$R$40</t>
  </si>
  <si>
    <t>$P$41</t>
  </si>
  <si>
    <t>LCD42" - ODM7 LHS</t>
  </si>
  <si>
    <t>$P$41&gt;=$R$41</t>
  </si>
  <si>
    <t>$U$33</t>
  </si>
  <si>
    <t>$U$33&lt;=$W$33</t>
  </si>
  <si>
    <t>$U$34</t>
  </si>
  <si>
    <t>$U$34&lt;=$W$34</t>
  </si>
  <si>
    <t>$U$35</t>
  </si>
  <si>
    <t>$U$35&lt;=$W$35</t>
  </si>
  <si>
    <t>$U$36</t>
  </si>
  <si>
    <t>$U$36&lt;=$W$36</t>
  </si>
  <si>
    <t>$U$37</t>
  </si>
  <si>
    <t>$U$37&lt;=$W$37</t>
  </si>
  <si>
    <t>$U$38</t>
  </si>
  <si>
    <t>$U$38&lt;=$W$38</t>
  </si>
  <si>
    <t>$U$39</t>
  </si>
  <si>
    <t>$U$39&lt;=$W$39</t>
  </si>
  <si>
    <t>$U$40</t>
  </si>
  <si>
    <t>$U$40&lt;=$W$40</t>
  </si>
  <si>
    <t>$U$41</t>
  </si>
  <si>
    <t>$U$41&lt;=$W$41</t>
  </si>
  <si>
    <t>$E$33:$L$41</t>
  </si>
  <si>
    <t>$E$46:$J$46 &gt;= 0</t>
  </si>
  <si>
    <t>$E$50:$J$50 &gt;= 0</t>
  </si>
  <si>
    <t>$P$33:$P$41 &gt;= $R$33:$R$41</t>
  </si>
  <si>
    <t>$U$33:$U$41 &lt;= $W$33:$W$41</t>
  </si>
  <si>
    <t xml:space="preserve">Total Emissions </t>
  </si>
  <si>
    <t>Emissions Constraint</t>
  </si>
  <si>
    <t>Emission Reduction %</t>
  </si>
  <si>
    <t>Total Emissions %</t>
  </si>
  <si>
    <t>Left Over Budget</t>
  </si>
  <si>
    <t>Budget Comparison With Emissions Reduction</t>
  </si>
  <si>
    <t xml:space="preserve">The chart below shows a comparison of the budget with the resulting suply chain surpus from operating with no emission reduction, 10% emission reduction, 20% emission reduction, and 30% emission reduction. </t>
  </si>
  <si>
    <t>Accumulated Cost</t>
  </si>
  <si>
    <t>Total Cost Breakdown to Reduce Emission</t>
  </si>
  <si>
    <t>$ Difference Per 10% Emissions Change</t>
  </si>
  <si>
    <t xml:space="preserve">Emissions available </t>
  </si>
  <si>
    <t>Cost Diffecence Per 10% Emissions Reduction</t>
  </si>
  <si>
    <t>LP Model: 20% Decrease in Total Emissions</t>
  </si>
  <si>
    <t>LP Model: 10% Decrease in Total Emissions</t>
  </si>
  <si>
    <t>LP Model: 30% Decrease in Total Emissions</t>
  </si>
  <si>
    <t>LP Model for DHL: $3 Billion Budget</t>
  </si>
  <si>
    <t>LP Model: $3.3 Billion Budget Comparison</t>
  </si>
  <si>
    <t>$ Difference For Every 10% Decrease in Carbon Emissions</t>
  </si>
  <si>
    <t>$ Diffecence For Every 10% Decrease in Carbon Emissions</t>
  </si>
  <si>
    <t>Accumulated Cost For Emissions Reduction</t>
  </si>
  <si>
    <t>Budget Surplus</t>
  </si>
  <si>
    <t xml:space="preserve">Total Emissions Produced For Every 10% Decrease in Carbon Emissions </t>
  </si>
  <si>
    <t>Kg/Ton Emissions created from  transportation  modes</t>
  </si>
  <si>
    <t>Total Carbon Emissions Produced For Every 10% Decrease in Carbon Emissions</t>
  </si>
  <si>
    <t>The chart below shows the dollar difference in cost for decreased emissions by 10% intervals.</t>
  </si>
  <si>
    <t>The chart below shows a comparison of the dollar difference in cost for decreased emissions by 10% intervals and accumulated costs to decrease emissions in 10% intervals.</t>
  </si>
  <si>
    <t>Excel Models Were Produced By The Supply Chain Champions: Reina Chandler, Rachel Bonotan and Steven Lu</t>
  </si>
  <si>
    <t>DHL Raw Data</t>
  </si>
  <si>
    <t xml:space="preserve">The graph below shows total carbon emissions produced for every 10% decrease in total carbon emissions.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</si>
</sst>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%"/>
    <numFmt numFmtId="166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6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00FF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4" tint="-0.249977111117893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Arial"/>
      <family val="2"/>
    </font>
    <font>
      <sz val="12"/>
      <color theme="5"/>
      <name val="Arial"/>
      <family val="2"/>
    </font>
    <font>
      <sz val="11"/>
      <color theme="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3" fontId="2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Fill="1" applyBorder="1" applyAlignment="1">
      <alignment wrapText="1"/>
    </xf>
    <xf numFmtId="4" fontId="4" fillId="0" borderId="0" xfId="0" applyNumberFormat="1" applyFont="1" applyFill="1" applyBorder="1" applyAlignment="1">
      <alignment horizontal="center" wrapText="1"/>
    </xf>
    <xf numFmtId="0" fontId="4" fillId="0" borderId="0" xfId="0" applyFont="1" applyFill="1"/>
    <xf numFmtId="3" fontId="1" fillId="0" borderId="30" xfId="0" applyNumberFormat="1" applyFont="1" applyBorder="1"/>
    <xf numFmtId="0" fontId="9" fillId="0" borderId="50" xfId="0" applyFont="1" applyBorder="1" applyAlignment="1">
      <alignment horizontal="center" wrapText="1"/>
    </xf>
    <xf numFmtId="0" fontId="9" fillId="0" borderId="51" xfId="0" applyFont="1" applyBorder="1" applyAlignment="1">
      <alignment wrapText="1"/>
    </xf>
    <xf numFmtId="0" fontId="9" fillId="0" borderId="52" xfId="0" applyFont="1" applyBorder="1" applyAlignment="1">
      <alignment horizontal="center" wrapText="1"/>
    </xf>
    <xf numFmtId="0" fontId="0" fillId="0" borderId="0" xfId="0" applyFont="1"/>
    <xf numFmtId="0" fontId="10" fillId="2" borderId="28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3" fontId="10" fillId="2" borderId="16" xfId="0" applyNumberFormat="1" applyFont="1" applyFill="1" applyBorder="1" applyAlignment="1">
      <alignment horizontal="center" wrapText="1"/>
    </xf>
    <xf numFmtId="0" fontId="0" fillId="0" borderId="0" xfId="0" applyFont="1" applyBorder="1"/>
    <xf numFmtId="0" fontId="10" fillId="3" borderId="53" xfId="0" applyFont="1" applyFill="1" applyBorder="1" applyAlignment="1">
      <alignment horizontal="center" wrapText="1"/>
    </xf>
    <xf numFmtId="0" fontId="10" fillId="3" borderId="26" xfId="0" applyFont="1" applyFill="1" applyBorder="1" applyAlignment="1">
      <alignment horizontal="center" wrapText="1"/>
    </xf>
    <xf numFmtId="3" fontId="10" fillId="3" borderId="34" xfId="0" applyNumberFormat="1" applyFont="1" applyFill="1" applyBorder="1" applyAlignment="1">
      <alignment horizontal="center" wrapText="1"/>
    </xf>
    <xf numFmtId="0" fontId="10" fillId="0" borderId="41" xfId="0" applyFont="1" applyBorder="1" applyAlignment="1">
      <alignment horizontal="center" wrapText="1"/>
    </xf>
    <xf numFmtId="0" fontId="10" fillId="0" borderId="48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9" fillId="0" borderId="29" xfId="0" applyFont="1" applyBorder="1"/>
    <xf numFmtId="0" fontId="9" fillId="0" borderId="12" xfId="0" applyFont="1" applyBorder="1" applyAlignment="1">
      <alignment horizontal="center"/>
    </xf>
    <xf numFmtId="0" fontId="9" fillId="0" borderId="51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2" borderId="18" xfId="0" applyFont="1" applyFill="1" applyBorder="1" applyAlignment="1">
      <alignment wrapText="1"/>
    </xf>
    <xf numFmtId="4" fontId="10" fillId="2" borderId="2" xfId="0" applyNumberFormat="1" applyFont="1" applyFill="1" applyBorder="1" applyAlignment="1">
      <alignment horizontal="center" wrapText="1"/>
    </xf>
    <xf numFmtId="4" fontId="10" fillId="2" borderId="54" xfId="0" applyNumberFormat="1" applyFont="1" applyFill="1" applyBorder="1" applyAlignment="1">
      <alignment horizontal="center" wrapText="1"/>
    </xf>
    <xf numFmtId="4" fontId="10" fillId="2" borderId="35" xfId="0" applyNumberFormat="1" applyFont="1" applyFill="1" applyBorder="1" applyAlignment="1">
      <alignment horizontal="center" wrapText="1"/>
    </xf>
    <xf numFmtId="4" fontId="10" fillId="2" borderId="3" xfId="0" applyNumberFormat="1" applyFont="1" applyFill="1" applyBorder="1" applyAlignment="1">
      <alignment horizontal="center" wrapText="1"/>
    </xf>
    <xf numFmtId="4" fontId="10" fillId="2" borderId="20" xfId="0" applyNumberFormat="1" applyFont="1" applyFill="1" applyBorder="1" applyAlignment="1">
      <alignment horizontal="center" wrapText="1"/>
    </xf>
    <xf numFmtId="0" fontId="10" fillId="2" borderId="21" xfId="0" applyFont="1" applyFill="1" applyBorder="1" applyAlignment="1">
      <alignment wrapText="1"/>
    </xf>
    <xf numFmtId="4" fontId="10" fillId="2" borderId="7" xfId="0" applyNumberFormat="1" applyFont="1" applyFill="1" applyBorder="1" applyAlignment="1">
      <alignment horizontal="center" wrapText="1"/>
    </xf>
    <xf numFmtId="4" fontId="10" fillId="2" borderId="55" xfId="0" applyNumberFormat="1" applyFont="1" applyFill="1" applyBorder="1" applyAlignment="1">
      <alignment horizontal="center" wrapText="1"/>
    </xf>
    <xf numFmtId="4" fontId="10" fillId="2" borderId="45" xfId="0" applyNumberFormat="1" applyFont="1" applyFill="1" applyBorder="1" applyAlignment="1">
      <alignment horizontal="center" wrapText="1"/>
    </xf>
    <xf numFmtId="4" fontId="10" fillId="2" borderId="5" xfId="0" applyNumberFormat="1" applyFont="1" applyFill="1" applyBorder="1" applyAlignment="1">
      <alignment horizontal="center" wrapText="1"/>
    </xf>
    <xf numFmtId="4" fontId="10" fillId="2" borderId="22" xfId="0" applyNumberFormat="1" applyFont="1" applyFill="1" applyBorder="1" applyAlignment="1">
      <alignment horizontal="center" wrapText="1"/>
    </xf>
    <xf numFmtId="0" fontId="10" fillId="3" borderId="15" xfId="0" applyFont="1" applyFill="1" applyBorder="1" applyAlignment="1">
      <alignment wrapText="1"/>
    </xf>
    <xf numFmtId="4" fontId="10" fillId="3" borderId="8" xfId="0" applyNumberFormat="1" applyFont="1" applyFill="1" applyBorder="1" applyAlignment="1">
      <alignment horizontal="center" wrapText="1"/>
    </xf>
    <xf numFmtId="4" fontId="10" fillId="3" borderId="56" xfId="0" applyNumberFormat="1" applyFont="1" applyFill="1" applyBorder="1" applyAlignment="1">
      <alignment horizontal="center" wrapText="1"/>
    </xf>
    <xf numFmtId="4" fontId="10" fillId="3" borderId="43" xfId="0" applyNumberFormat="1" applyFont="1" applyFill="1" applyBorder="1" applyAlignment="1">
      <alignment horizontal="center" wrapText="1"/>
    </xf>
    <xf numFmtId="4" fontId="10" fillId="3" borderId="10" xfId="0" applyNumberFormat="1" applyFont="1" applyFill="1" applyBorder="1" applyAlignment="1">
      <alignment horizontal="center" wrapText="1"/>
    </xf>
    <xf numFmtId="4" fontId="10" fillId="3" borderId="17" xfId="0" applyNumberFormat="1" applyFont="1" applyFill="1" applyBorder="1" applyAlignment="1">
      <alignment horizontal="center" wrapText="1"/>
    </xf>
    <xf numFmtId="4" fontId="11" fillId="3" borderId="8" xfId="0" applyNumberFormat="1" applyFont="1" applyFill="1" applyBorder="1" applyAlignment="1">
      <alignment horizontal="center" wrapText="1"/>
    </xf>
    <xf numFmtId="0" fontId="10" fillId="3" borderId="8" xfId="0" applyFont="1" applyFill="1" applyBorder="1" applyAlignment="1">
      <alignment horizontal="center" wrapText="1"/>
    </xf>
    <xf numFmtId="0" fontId="10" fillId="0" borderId="43" xfId="0" applyFont="1" applyFill="1" applyBorder="1" applyAlignment="1">
      <alignment horizontal="center" wrapText="1"/>
    </xf>
    <xf numFmtId="0" fontId="10" fillId="0" borderId="8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10" fillId="3" borderId="37" xfId="0" applyFont="1" applyFill="1" applyBorder="1" applyAlignment="1">
      <alignment wrapText="1"/>
    </xf>
    <xf numFmtId="0" fontId="10" fillId="3" borderId="46" xfId="0" applyFont="1" applyFill="1" applyBorder="1" applyAlignment="1">
      <alignment horizontal="center" wrapText="1"/>
    </xf>
    <xf numFmtId="4" fontId="10" fillId="3" borderId="57" xfId="0" applyNumberFormat="1" applyFont="1" applyFill="1" applyBorder="1" applyAlignment="1">
      <alignment horizontal="center" wrapText="1"/>
    </xf>
    <xf numFmtId="4" fontId="10" fillId="3" borderId="44" xfId="0" applyNumberFormat="1" applyFont="1" applyFill="1" applyBorder="1" applyAlignment="1">
      <alignment horizontal="center" wrapText="1"/>
    </xf>
    <xf numFmtId="4" fontId="10" fillId="3" borderId="46" xfId="0" applyNumberFormat="1" applyFont="1" applyFill="1" applyBorder="1" applyAlignment="1">
      <alignment horizontal="center" wrapText="1"/>
    </xf>
    <xf numFmtId="4" fontId="10" fillId="3" borderId="47" xfId="0" applyNumberFormat="1" applyFont="1" applyFill="1" applyBorder="1" applyAlignment="1">
      <alignment horizontal="center" wrapText="1"/>
    </xf>
    <xf numFmtId="4" fontId="10" fillId="3" borderId="39" xfId="0" applyNumberFormat="1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0" borderId="14" xfId="0" applyFont="1" applyBorder="1" applyAlignment="1">
      <alignment wrapText="1"/>
    </xf>
    <xf numFmtId="3" fontId="10" fillId="4" borderId="9" xfId="0" applyNumberFormat="1" applyFont="1" applyFill="1" applyBorder="1" applyAlignment="1">
      <alignment horizontal="center" wrapText="1"/>
    </xf>
    <xf numFmtId="3" fontId="10" fillId="3" borderId="6" xfId="0" applyNumberFormat="1" applyFont="1" applyFill="1" applyBorder="1" applyAlignment="1">
      <alignment horizontal="center" wrapText="1"/>
    </xf>
    <xf numFmtId="0" fontId="10" fillId="0" borderId="17" xfId="0" applyFont="1" applyBorder="1" applyAlignment="1">
      <alignment wrapText="1"/>
    </xf>
    <xf numFmtId="3" fontId="10" fillId="4" borderId="25" xfId="0" applyNumberFormat="1" applyFont="1" applyFill="1" applyBorder="1" applyAlignment="1">
      <alignment horizontal="center" wrapText="1"/>
    </xf>
    <xf numFmtId="3" fontId="10" fillId="3" borderId="40" xfId="0" applyNumberFormat="1" applyFont="1" applyFill="1" applyBorder="1" applyAlignment="1">
      <alignment horizontal="center" wrapText="1"/>
    </xf>
    <xf numFmtId="0" fontId="10" fillId="0" borderId="39" xfId="0" applyFont="1" applyBorder="1" applyAlignment="1">
      <alignment wrapText="1"/>
    </xf>
    <xf numFmtId="0" fontId="6" fillId="5" borderId="12" xfId="0" applyFont="1" applyFill="1" applyBorder="1"/>
    <xf numFmtId="0" fontId="9" fillId="5" borderId="13" xfId="0" applyFont="1" applyFill="1" applyBorder="1" applyAlignment="1">
      <alignment horizontal="center" wrapText="1"/>
    </xf>
    <xf numFmtId="0" fontId="10" fillId="5" borderId="13" xfId="0" applyFont="1" applyFill="1" applyBorder="1"/>
    <xf numFmtId="0" fontId="10" fillId="5" borderId="14" xfId="0" applyFont="1" applyFill="1" applyBorder="1"/>
    <xf numFmtId="0" fontId="9" fillId="0" borderId="28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0" fillId="0" borderId="17" xfId="0" applyFont="1" applyBorder="1"/>
    <xf numFmtId="3" fontId="9" fillId="0" borderId="0" xfId="0" applyNumberFormat="1" applyFont="1" applyBorder="1"/>
    <xf numFmtId="0" fontId="0" fillId="0" borderId="15" xfId="0" applyFont="1" applyBorder="1"/>
    <xf numFmtId="0" fontId="10" fillId="0" borderId="0" xfId="0" applyFont="1" applyBorder="1"/>
    <xf numFmtId="0" fontId="10" fillId="0" borderId="15" xfId="0" applyFont="1" applyBorder="1"/>
    <xf numFmtId="0" fontId="10" fillId="0" borderId="15" xfId="0" applyFont="1" applyBorder="1" applyAlignment="1"/>
    <xf numFmtId="4" fontId="0" fillId="0" borderId="0" xfId="0" applyNumberFormat="1" applyFont="1"/>
    <xf numFmtId="0" fontId="9" fillId="0" borderId="18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0" fillId="0" borderId="38" xfId="0" applyFont="1" applyBorder="1" applyAlignment="1">
      <alignment horizontal="center"/>
    </xf>
    <xf numFmtId="4" fontId="0" fillId="0" borderId="15" xfId="0" applyNumberFormat="1" applyFont="1" applyBorder="1" applyAlignment="1">
      <alignment horizontal="center"/>
    </xf>
    <xf numFmtId="0" fontId="6" fillId="5" borderId="29" xfId="0" applyFont="1" applyFill="1" applyBorder="1"/>
    <xf numFmtId="0" fontId="9" fillId="5" borderId="36" xfId="0" applyFont="1" applyFill="1" applyBorder="1"/>
    <xf numFmtId="0" fontId="9" fillId="5" borderId="30" xfId="0" applyFont="1" applyFill="1" applyBorder="1"/>
    <xf numFmtId="4" fontId="0" fillId="0" borderId="37" xfId="0" applyNumberFormat="1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 wrapText="1"/>
    </xf>
    <xf numFmtId="0" fontId="10" fillId="0" borderId="42" xfId="0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2" borderId="35" xfId="0" applyFont="1" applyFill="1" applyBorder="1" applyAlignment="1">
      <alignment wrapText="1"/>
    </xf>
    <xf numFmtId="4" fontId="10" fillId="2" borderId="4" xfId="0" applyNumberFormat="1" applyFont="1" applyFill="1" applyBorder="1" applyAlignment="1">
      <alignment horizontal="center" wrapText="1"/>
    </xf>
    <xf numFmtId="4" fontId="0" fillId="0" borderId="17" xfId="0" applyNumberFormat="1" applyFont="1" applyBorder="1"/>
    <xf numFmtId="0" fontId="10" fillId="2" borderId="43" xfId="0" applyFont="1" applyFill="1" applyBorder="1" applyAlignment="1">
      <alignment wrapText="1"/>
    </xf>
    <xf numFmtId="4" fontId="10" fillId="2" borderId="0" xfId="0" applyNumberFormat="1" applyFont="1" applyFill="1" applyBorder="1" applyAlignment="1">
      <alignment horizontal="center" wrapText="1"/>
    </xf>
    <xf numFmtId="4" fontId="10" fillId="2" borderId="17" xfId="0" applyNumberFormat="1" applyFont="1" applyFill="1" applyBorder="1" applyAlignment="1">
      <alignment horizontal="center" wrapText="1"/>
    </xf>
    <xf numFmtId="0" fontId="10" fillId="3" borderId="43" xfId="0" applyFont="1" applyFill="1" applyBorder="1" applyAlignment="1">
      <alignment wrapText="1"/>
    </xf>
    <xf numFmtId="4" fontId="10" fillId="3" borderId="0" xfId="0" applyNumberFormat="1" applyFont="1" applyFill="1" applyBorder="1" applyAlignment="1">
      <alignment horizontal="center" wrapText="1"/>
    </xf>
    <xf numFmtId="4" fontId="11" fillId="3" borderId="0" xfId="0" applyNumberFormat="1" applyFont="1" applyFill="1" applyBorder="1" applyAlignment="1">
      <alignment horizontal="center" wrapText="1"/>
    </xf>
    <xf numFmtId="0" fontId="10" fillId="3" borderId="44" xfId="0" applyFont="1" applyFill="1" applyBorder="1" applyAlignment="1">
      <alignment wrapText="1"/>
    </xf>
    <xf numFmtId="4" fontId="10" fillId="3" borderId="38" xfId="0" applyNumberFormat="1" applyFont="1" applyFill="1" applyBorder="1" applyAlignment="1">
      <alignment horizontal="center" wrapText="1"/>
    </xf>
    <xf numFmtId="0" fontId="0" fillId="0" borderId="37" xfId="0" applyFont="1" applyFill="1" applyBorder="1" applyAlignment="1"/>
    <xf numFmtId="4" fontId="0" fillId="0" borderId="38" xfId="0" applyNumberFormat="1" applyFont="1" applyFill="1" applyBorder="1"/>
    <xf numFmtId="4" fontId="0" fillId="0" borderId="39" xfId="0" applyNumberFormat="1" applyFont="1" applyFill="1" applyBorder="1"/>
    <xf numFmtId="0" fontId="0" fillId="0" borderId="0" xfId="0" applyFont="1" applyFill="1" applyBorder="1"/>
    <xf numFmtId="0" fontId="10" fillId="0" borderId="0" xfId="0" applyFont="1" applyFill="1" applyBorder="1" applyAlignment="1">
      <alignment wrapText="1"/>
    </xf>
    <xf numFmtId="4" fontId="0" fillId="0" borderId="17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0" fillId="2" borderId="3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10" fillId="2" borderId="18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10" fillId="3" borderId="37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6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10" fillId="3" borderId="30" xfId="0" applyFont="1" applyFill="1" applyBorder="1" applyAlignment="1">
      <alignment horizontal="center" wrapText="1"/>
    </xf>
    <xf numFmtId="0" fontId="1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3" fillId="0" borderId="0" xfId="0" applyFont="1" applyBorder="1" applyAlignment="1"/>
    <xf numFmtId="0" fontId="1" fillId="0" borderId="0" xfId="0" applyFont="1" applyFill="1" applyBorder="1" applyAlignment="1">
      <alignment wrapText="1"/>
    </xf>
    <xf numFmtId="3" fontId="10" fillId="0" borderId="0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50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10" fillId="0" borderId="58" xfId="0" applyFont="1" applyBorder="1" applyAlignment="1">
      <alignment horizontal="center" wrapText="1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6" fillId="0" borderId="29" xfId="0" applyFont="1" applyBorder="1"/>
    <xf numFmtId="164" fontId="6" fillId="0" borderId="30" xfId="1" applyNumberFormat="1" applyFont="1" applyBorder="1"/>
    <xf numFmtId="0" fontId="0" fillId="0" borderId="12" xfId="0" applyFont="1" applyBorder="1" applyAlignment="1">
      <alignment horizontal="center"/>
    </xf>
    <xf numFmtId="0" fontId="10" fillId="0" borderId="58" xfId="0" applyFont="1" applyFill="1" applyBorder="1" applyAlignment="1">
      <alignment horizontal="center" wrapText="1"/>
    </xf>
    <xf numFmtId="0" fontId="10" fillId="0" borderId="61" xfId="0" applyNumberFormat="1" applyFont="1" applyFill="1" applyBorder="1" applyAlignment="1">
      <alignment horizontal="center" wrapText="1"/>
    </xf>
    <xf numFmtId="0" fontId="10" fillId="0" borderId="62" xfId="0" applyNumberFormat="1" applyFont="1" applyFill="1" applyBorder="1" applyAlignment="1">
      <alignment horizontal="center" wrapText="1"/>
    </xf>
    <xf numFmtId="0" fontId="9" fillId="0" borderId="52" xfId="0" applyFont="1" applyFill="1" applyBorder="1" applyAlignment="1">
      <alignment horizontal="center"/>
    </xf>
    <xf numFmtId="0" fontId="9" fillId="0" borderId="51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3" borderId="43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/>
    </xf>
    <xf numFmtId="164" fontId="0" fillId="0" borderId="37" xfId="1" applyNumberFormat="1" applyFont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center"/>
    </xf>
    <xf numFmtId="4" fontId="0" fillId="0" borderId="0" xfId="0" applyNumberFormat="1"/>
    <xf numFmtId="0" fontId="1" fillId="0" borderId="0" xfId="0" applyFont="1"/>
    <xf numFmtId="0" fontId="0" fillId="0" borderId="64" xfId="0" applyFill="1" applyBorder="1" applyAlignment="1"/>
    <xf numFmtId="0" fontId="14" fillId="0" borderId="6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65" xfId="0" applyFill="1" applyBorder="1" applyAlignment="1"/>
    <xf numFmtId="44" fontId="0" fillId="0" borderId="64" xfId="0" applyNumberFormat="1" applyFill="1" applyBorder="1" applyAlignment="1"/>
    <xf numFmtId="4" fontId="0" fillId="0" borderId="65" xfId="0" applyNumberFormat="1" applyFill="1" applyBorder="1" applyAlignment="1"/>
    <xf numFmtId="0" fontId="0" fillId="0" borderId="65" xfId="0" applyNumberFormat="1" applyFill="1" applyBorder="1" applyAlignment="1"/>
    <xf numFmtId="0" fontId="1" fillId="0" borderId="65" xfId="0" applyFont="1" applyFill="1" applyBorder="1" applyAlignment="1"/>
    <xf numFmtId="0" fontId="0" fillId="0" borderId="64" xfId="0" applyNumberFormat="1" applyFill="1" applyBorder="1" applyAlignment="1"/>
    <xf numFmtId="0" fontId="1" fillId="0" borderId="64" xfId="0" applyFont="1" applyFill="1" applyBorder="1" applyAlignment="1"/>
    <xf numFmtId="164" fontId="0" fillId="0" borderId="65" xfId="0" applyNumberFormat="1" applyFill="1" applyBorder="1" applyAlignment="1"/>
    <xf numFmtId="1" fontId="0" fillId="0" borderId="65" xfId="0" applyNumberFormat="1" applyFill="1" applyBorder="1" applyAlignment="1"/>
    <xf numFmtId="1" fontId="0" fillId="0" borderId="64" xfId="0" applyNumberFormat="1" applyFill="1" applyBorder="1" applyAlignment="1"/>
    <xf numFmtId="0" fontId="1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5" fillId="0" borderId="0" xfId="0" applyFont="1" applyFill="1" applyBorder="1" applyAlignment="1">
      <alignment horizontal="left"/>
    </xf>
    <xf numFmtId="0" fontId="15" fillId="0" borderId="65" xfId="0" applyFont="1" applyFill="1" applyBorder="1" applyAlignment="1">
      <alignment horizontal="left"/>
    </xf>
    <xf numFmtId="1" fontId="0" fillId="0" borderId="0" xfId="0" applyNumberFormat="1" applyFill="1" applyBorder="1" applyAlignment="1"/>
    <xf numFmtId="0" fontId="0" fillId="0" borderId="2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0" fillId="3" borderId="30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0" fillId="3" borderId="15" xfId="0" applyFont="1" applyFill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16" fillId="0" borderId="62" xfId="0" applyFont="1" applyBorder="1" applyAlignment="1">
      <alignment horizontal="center"/>
    </xf>
    <xf numFmtId="44" fontId="16" fillId="0" borderId="39" xfId="1" applyFont="1" applyBorder="1" applyAlignment="1"/>
    <xf numFmtId="0" fontId="0" fillId="0" borderId="1" xfId="0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4" fontId="0" fillId="0" borderId="0" xfId="0" applyNumberFormat="1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4" fontId="0" fillId="0" borderId="67" xfId="0" applyNumberFormat="1" applyFont="1" applyBorder="1"/>
    <xf numFmtId="0" fontId="0" fillId="0" borderId="61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13" xfId="0" applyFont="1" applyBorder="1" applyAlignment="1">
      <alignment horizontal="center"/>
    </xf>
    <xf numFmtId="0" fontId="0" fillId="0" borderId="61" xfId="0" applyBorder="1" applyAlignment="1">
      <alignment horizontal="center"/>
    </xf>
    <xf numFmtId="0" fontId="9" fillId="0" borderId="14" xfId="0" applyFont="1" applyBorder="1" applyAlignment="1">
      <alignment horizontal="center"/>
    </xf>
    <xf numFmtId="4" fontId="0" fillId="0" borderId="0" xfId="0" applyNumberFormat="1" applyFont="1" applyBorder="1"/>
    <xf numFmtId="4" fontId="0" fillId="0" borderId="61" xfId="0" applyNumberFormat="1" applyFont="1" applyBorder="1"/>
    <xf numFmtId="4" fontId="0" fillId="0" borderId="62" xfId="0" applyNumberFormat="1" applyFont="1" applyBorder="1"/>
    <xf numFmtId="4" fontId="17" fillId="2" borderId="3" xfId="0" applyNumberFormat="1" applyFont="1" applyFill="1" applyBorder="1" applyAlignment="1">
      <alignment horizontal="center" wrapText="1"/>
    </xf>
    <xf numFmtId="4" fontId="17" fillId="2" borderId="35" xfId="0" applyNumberFormat="1" applyFont="1" applyFill="1" applyBorder="1" applyAlignment="1">
      <alignment horizontal="center" wrapText="1"/>
    </xf>
    <xf numFmtId="4" fontId="17" fillId="2" borderId="2" xfId="0" applyNumberFormat="1" applyFont="1" applyFill="1" applyBorder="1" applyAlignment="1">
      <alignment horizontal="center" wrapText="1"/>
    </xf>
    <xf numFmtId="4" fontId="17" fillId="2" borderId="20" xfId="0" applyNumberFormat="1" applyFont="1" applyFill="1" applyBorder="1" applyAlignment="1">
      <alignment horizontal="center" wrapText="1"/>
    </xf>
    <xf numFmtId="4" fontId="17" fillId="2" borderId="5" xfId="0" applyNumberFormat="1" applyFont="1" applyFill="1" applyBorder="1" applyAlignment="1">
      <alignment horizontal="center" wrapText="1"/>
    </xf>
    <xf numFmtId="4" fontId="17" fillId="2" borderId="45" xfId="0" applyNumberFormat="1" applyFont="1" applyFill="1" applyBorder="1" applyAlignment="1">
      <alignment horizontal="center" wrapText="1"/>
    </xf>
    <xf numFmtId="4" fontId="17" fillId="2" borderId="7" xfId="0" applyNumberFormat="1" applyFont="1" applyFill="1" applyBorder="1" applyAlignment="1">
      <alignment horizontal="center" wrapText="1"/>
    </xf>
    <xf numFmtId="4" fontId="17" fillId="2" borderId="22" xfId="0" applyNumberFormat="1" applyFont="1" applyFill="1" applyBorder="1" applyAlignment="1">
      <alignment horizontal="center" wrapText="1"/>
    </xf>
    <xf numFmtId="4" fontId="17" fillId="3" borderId="10" xfId="0" applyNumberFormat="1" applyFont="1" applyFill="1" applyBorder="1" applyAlignment="1">
      <alignment horizontal="center" wrapText="1"/>
    </xf>
    <xf numFmtId="4" fontId="17" fillId="3" borderId="43" xfId="0" applyNumberFormat="1" applyFont="1" applyFill="1" applyBorder="1" applyAlignment="1">
      <alignment horizontal="center" wrapText="1"/>
    </xf>
    <xf numFmtId="4" fontId="17" fillId="3" borderId="8" xfId="0" applyNumberFormat="1" applyFont="1" applyFill="1" applyBorder="1" applyAlignment="1">
      <alignment horizontal="center" wrapText="1"/>
    </xf>
    <xf numFmtId="4" fontId="17" fillId="3" borderId="17" xfId="0" applyNumberFormat="1" applyFont="1" applyFill="1" applyBorder="1" applyAlignment="1">
      <alignment horizontal="center" wrapText="1"/>
    </xf>
    <xf numFmtId="4" fontId="18" fillId="3" borderId="17" xfId="0" applyNumberFormat="1" applyFont="1" applyFill="1" applyBorder="1" applyAlignment="1">
      <alignment horizontal="center" wrapText="1"/>
    </xf>
    <xf numFmtId="0" fontId="17" fillId="0" borderId="43" xfId="0" applyFont="1" applyFill="1" applyBorder="1" applyAlignment="1">
      <alignment horizontal="center" wrapText="1"/>
    </xf>
    <xf numFmtId="0" fontId="17" fillId="0" borderId="8" xfId="0" applyFont="1" applyFill="1" applyBorder="1" applyAlignment="1">
      <alignment horizontal="center" wrapText="1"/>
    </xf>
    <xf numFmtId="0" fontId="17" fillId="0" borderId="17" xfId="0" applyFont="1" applyFill="1" applyBorder="1" applyAlignment="1">
      <alignment horizontal="center" wrapText="1"/>
    </xf>
    <xf numFmtId="0" fontId="17" fillId="0" borderId="10" xfId="0" applyFont="1" applyFill="1" applyBorder="1" applyAlignment="1">
      <alignment horizontal="center" wrapText="1"/>
    </xf>
    <xf numFmtId="4" fontId="17" fillId="3" borderId="47" xfId="0" applyNumberFormat="1" applyFont="1" applyFill="1" applyBorder="1" applyAlignment="1">
      <alignment horizontal="center" wrapText="1"/>
    </xf>
    <xf numFmtId="4" fontId="17" fillId="3" borderId="44" xfId="0" applyNumberFormat="1" applyFont="1" applyFill="1" applyBorder="1" applyAlignment="1">
      <alignment horizontal="center" wrapText="1"/>
    </xf>
    <xf numFmtId="4" fontId="17" fillId="3" borderId="46" xfId="0" applyNumberFormat="1" applyFont="1" applyFill="1" applyBorder="1" applyAlignment="1">
      <alignment horizontal="center" wrapText="1"/>
    </xf>
    <xf numFmtId="4" fontId="17" fillId="3" borderId="39" xfId="0" applyNumberFormat="1" applyFont="1" applyFill="1" applyBorder="1" applyAlignment="1">
      <alignment horizontal="center" wrapText="1"/>
    </xf>
    <xf numFmtId="0" fontId="16" fillId="0" borderId="58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6" fillId="5" borderId="66" xfId="0" applyFont="1" applyFill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0" fillId="3" borderId="30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0" fillId="3" borderId="15" xfId="0" applyFont="1" applyFill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0" fillId="3" borderId="15" xfId="0" applyFont="1" applyFill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0" fillId="3" borderId="30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3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9" fontId="0" fillId="0" borderId="0" xfId="0" applyNumberFormat="1"/>
    <xf numFmtId="164" fontId="19" fillId="0" borderId="0" xfId="1" applyNumberFormat="1" applyFont="1"/>
    <xf numFmtId="164" fontId="21" fillId="0" borderId="0" xfId="1" applyNumberFormat="1" applyFont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164" fontId="26" fillId="0" borderId="0" xfId="1" applyNumberFormat="1" applyFont="1" applyAlignment="1">
      <alignment horizontal="center" vertical="center"/>
    </xf>
    <xf numFmtId="164" fontId="27" fillId="0" borderId="0" xfId="1" applyNumberFormat="1" applyFont="1" applyAlignment="1">
      <alignment horizontal="center" vertical="center"/>
    </xf>
    <xf numFmtId="9" fontId="0" fillId="0" borderId="0" xfId="0" applyNumberFormat="1" applyAlignment="1"/>
    <xf numFmtId="164" fontId="26" fillId="0" borderId="0" xfId="1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3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6" fontId="0" fillId="0" borderId="0" xfId="0" applyNumberFormat="1"/>
    <xf numFmtId="44" fontId="0" fillId="0" borderId="0" xfId="0" applyNumberFormat="1"/>
    <xf numFmtId="44" fontId="0" fillId="0" borderId="0" xfId="0" applyNumberFormat="1" applyFont="1"/>
    <xf numFmtId="3" fontId="20" fillId="0" borderId="0" xfId="0" applyNumberFormat="1" applyFont="1" applyBorder="1"/>
    <xf numFmtId="9" fontId="0" fillId="0" borderId="0" xfId="2" applyFont="1"/>
    <xf numFmtId="0" fontId="29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164" fontId="31" fillId="0" borderId="11" xfId="1" applyNumberFormat="1" applyFont="1" applyBorder="1" applyAlignment="1">
      <alignment horizontal="center" vertical="center"/>
    </xf>
    <xf numFmtId="44" fontId="0" fillId="0" borderId="6" xfId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9" fontId="0" fillId="0" borderId="1" xfId="0" applyNumberFormat="1" applyFont="1" applyBorder="1"/>
    <xf numFmtId="0" fontId="0" fillId="0" borderId="1" xfId="0" applyBorder="1"/>
    <xf numFmtId="166" fontId="34" fillId="0" borderId="1" xfId="3" applyNumberFormat="1" applyFont="1" applyBorder="1"/>
    <xf numFmtId="9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6" fontId="32" fillId="0" borderId="1" xfId="1" applyNumberFormat="1" applyFont="1" applyBorder="1" applyAlignment="1">
      <alignment horizontal="center"/>
    </xf>
    <xf numFmtId="6" fontId="33" fillId="0" borderId="1" xfId="0" applyNumberFormat="1" applyFont="1" applyBorder="1"/>
    <xf numFmtId="164" fontId="32" fillId="0" borderId="1" xfId="1" applyNumberFormat="1" applyFont="1" applyBorder="1" applyAlignment="1">
      <alignment horizontal="center"/>
    </xf>
    <xf numFmtId="165" fontId="32" fillId="0" borderId="1" xfId="2" applyNumberFormat="1" applyFont="1" applyBorder="1" applyAlignment="1">
      <alignment horizontal="center"/>
    </xf>
    <xf numFmtId="164" fontId="33" fillId="0" borderId="1" xfId="0" applyNumberFormat="1" applyFont="1" applyBorder="1"/>
    <xf numFmtId="9" fontId="0" fillId="0" borderId="1" xfId="2" applyFont="1" applyBorder="1" applyAlignment="1">
      <alignment horizontal="center"/>
    </xf>
    <xf numFmtId="164" fontId="22" fillId="0" borderId="1" xfId="1" applyNumberFormat="1" applyFont="1" applyBorder="1" applyAlignment="1">
      <alignment horizontal="center"/>
    </xf>
    <xf numFmtId="6" fontId="21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21" fillId="0" borderId="1" xfId="1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6" fontId="28" fillId="0" borderId="1" xfId="0" applyNumberFormat="1" applyFont="1" applyBorder="1"/>
    <xf numFmtId="164" fontId="28" fillId="0" borderId="1" xfId="0" applyNumberFormat="1" applyFont="1" applyBorder="1"/>
    <xf numFmtId="164" fontId="26" fillId="0" borderId="1" xfId="1" applyNumberFormat="1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10" fillId="0" borderId="24" xfId="0" applyFont="1" applyBorder="1" applyAlignment="1">
      <alignment horizontal="right" wrapText="1"/>
    </xf>
    <xf numFmtId="0" fontId="10" fillId="0" borderId="25" xfId="0" applyFont="1" applyBorder="1" applyAlignment="1">
      <alignment horizontal="right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0" fontId="10" fillId="0" borderId="23" xfId="0" applyFont="1" applyBorder="1" applyAlignment="1">
      <alignment horizontal="right" wrapText="1"/>
    </xf>
    <xf numFmtId="0" fontId="10" fillId="0" borderId="9" xfId="0" applyFont="1" applyBorder="1" applyAlignment="1">
      <alignment horizontal="right" wrapText="1"/>
    </xf>
    <xf numFmtId="0" fontId="10" fillId="2" borderId="29" xfId="0" applyFont="1" applyFill="1" applyBorder="1" applyAlignment="1">
      <alignment horizontal="center" wrapText="1"/>
    </xf>
    <xf numFmtId="0" fontId="10" fillId="2" borderId="30" xfId="0" applyFont="1" applyFill="1" applyBorder="1" applyAlignment="1">
      <alignment horizontal="center" wrapText="1"/>
    </xf>
    <xf numFmtId="0" fontId="10" fillId="2" borderId="36" xfId="0" applyFont="1" applyFill="1" applyBorder="1" applyAlignment="1">
      <alignment horizontal="center" wrapText="1"/>
    </xf>
    <xf numFmtId="0" fontId="0" fillId="0" borderId="37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10" fillId="3" borderId="29" xfId="0" applyFont="1" applyFill="1" applyBorder="1" applyAlignment="1">
      <alignment horizontal="center" wrapText="1"/>
    </xf>
    <xf numFmtId="0" fontId="10" fillId="3" borderId="30" xfId="0" applyFont="1" applyFill="1" applyBorder="1" applyAlignment="1">
      <alignment horizontal="center" wrapText="1"/>
    </xf>
    <xf numFmtId="0" fontId="10" fillId="3" borderId="36" xfId="0" applyFont="1" applyFill="1" applyBorder="1" applyAlignment="1">
      <alignment horizontal="center" wrapText="1"/>
    </xf>
    <xf numFmtId="4" fontId="0" fillId="0" borderId="12" xfId="0" applyNumberFormat="1" applyFont="1" applyBorder="1" applyAlignment="1">
      <alignment horizontal="center"/>
    </xf>
    <xf numFmtId="4" fontId="0" fillId="0" borderId="14" xfId="0" applyNumberFormat="1" applyFon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10" fillId="2" borderId="12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3" borderId="1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58" xfId="0" applyFont="1" applyBorder="1" applyAlignment="1">
      <alignment horizontal="left" vertical="center" wrapText="1"/>
    </xf>
    <xf numFmtId="0" fontId="0" fillId="0" borderId="61" xfId="0" applyFont="1" applyBorder="1" applyAlignment="1">
      <alignment horizontal="left" vertical="center" wrapText="1"/>
    </xf>
    <xf numFmtId="0" fontId="0" fillId="0" borderId="62" xfId="0" applyFont="1" applyBorder="1" applyAlignment="1">
      <alignment horizontal="left" vertical="center" wrapText="1"/>
    </xf>
    <xf numFmtId="0" fontId="24" fillId="6" borderId="29" xfId="0" applyFont="1" applyFill="1" applyBorder="1" applyAlignment="1">
      <alignment horizontal="center"/>
    </xf>
    <xf numFmtId="0" fontId="24" fillId="6" borderId="36" xfId="0" applyFont="1" applyFill="1" applyBorder="1" applyAlignment="1">
      <alignment horizontal="center"/>
    </xf>
    <xf numFmtId="0" fontId="24" fillId="6" borderId="30" xfId="0" applyFont="1" applyFill="1" applyBorder="1" applyAlignment="1">
      <alignment horizontal="center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ysClr val="windowText" lastClr="000000"/>
                </a:solidFill>
              </a:rPr>
              <a:t>Total Carbon Emissions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'GR-Total Carbon Emissions'!$D$16</c:f>
              <c:strCache>
                <c:ptCount val="1"/>
                <c:pt idx="0">
                  <c:v>Total Emissions Produced For Every 10% Decrease in Carbon Emissions </c:v>
                </c:pt>
              </c:strCache>
            </c:strRef>
          </c:tx>
          <c:spPr>
            <a:ln w="44450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451274035514711E-2"/>
                  <c:y val="-4.6516363014201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C6-4B53-B870-D5F190D50308}"/>
                </c:ext>
              </c:extLst>
            </c:dLbl>
            <c:dLbl>
              <c:idx val="1"/>
              <c:layout>
                <c:manualLayout>
                  <c:x val="-8.0568901114068933E-2"/>
                  <c:y val="-0.1083469160012115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C6-4B53-B870-D5F190D50308}"/>
                </c:ext>
              </c:extLst>
            </c:dLbl>
            <c:dLbl>
              <c:idx val="2"/>
              <c:layout>
                <c:manualLayout>
                  <c:x val="-8.0568901114068864E-2"/>
                  <c:y val="-0.170177468988221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C6-4B53-B870-D5F190D50308}"/>
                </c:ext>
              </c:extLst>
            </c:dLbl>
            <c:dLbl>
              <c:idx val="3"/>
              <c:layout>
                <c:manualLayout>
                  <c:x val="-4.8985190315607205E-2"/>
                  <c:y val="-0.229799787939981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C6-4B53-B870-D5F190D503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'GR-Total Carbon Emissions'!$B$17:$B$20</c:f>
              <c:numCache>
                <c:formatCode>0%</c:formatCode>
                <c:ptCount val="4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</c:numCache>
            </c:numRef>
          </c:cat>
          <c:val>
            <c:numRef>
              <c:f>'GR-Total Carbon Emissions'!$D$17:$D$20</c:f>
              <c:numCache>
                <c:formatCode>_(* #,##0_);_(* \(#,##0\);_(* "-"??_);_(@_)</c:formatCode>
                <c:ptCount val="4"/>
                <c:pt idx="0">
                  <c:v>7921142.9418000001</c:v>
                </c:pt>
                <c:pt idx="1">
                  <c:v>7106000.8480472006</c:v>
                </c:pt>
                <c:pt idx="2">
                  <c:v>6309986.6109016007</c:v>
                </c:pt>
                <c:pt idx="3">
                  <c:v>5520336.3022587998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1-4B1E-9391-05BF0E3E910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8806952"/>
        <c:axId val="248807344"/>
      </c:lineChart>
      <c:catAx>
        <c:axId val="24880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Emission Reduction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7344"/>
        <c:crosses val="autoZero"/>
        <c:auto val="1"/>
        <c:lblAlgn val="ctr"/>
        <c:lblOffset val="100"/>
        <c:noMultiLvlLbl val="0"/>
      </c:catAx>
      <c:valAx>
        <c:axId val="2488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Kg/Ton Carbon Emissions Produced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$ Difference For Every 10% Decrease in Carbon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4207317109348"/>
          <c:y val="0.14234817644850012"/>
          <c:w val="0.87347521440190734"/>
          <c:h val="0.79370234300498843"/>
        </c:manualLayout>
      </c:layout>
      <c:lineChart>
        <c:grouping val="standard"/>
        <c:varyColors val="0"/>
        <c:ser>
          <c:idx val="1"/>
          <c:order val="0"/>
          <c:tx>
            <c:strRef>
              <c:f>'GR-Cost Comp per 10% Reduction'!$E$7</c:f>
              <c:strCache>
                <c:ptCount val="1"/>
                <c:pt idx="0">
                  <c:v>$ Difference For Every 10% Decrease in Carbon Emissions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0910891888027274E-2"/>
                  <c:y val="8.3697407868778197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05-4783-BDAB-4420A190D86C}"/>
                </c:ext>
              </c:extLst>
            </c:dLbl>
            <c:dLbl>
              <c:idx val="2"/>
              <c:layout>
                <c:manualLayout>
                  <c:x val="-0.1086133692967234"/>
                  <c:y val="-6.649491538160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05-4783-BDAB-4420A190D86C}"/>
                </c:ext>
              </c:extLst>
            </c:dLbl>
            <c:dLbl>
              <c:idx val="3"/>
              <c:layout>
                <c:manualLayout>
                  <c:x val="-3.8367257999033691E-2"/>
                  <c:y val="-5.731846893519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05-4783-BDAB-4420A190D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'GR-Cost Comp per 10% Reduction'!$C$8:$C$11</c:f>
              <c:numCache>
                <c:formatCode>0%</c:formatCode>
                <c:ptCount val="4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</c:numCache>
            </c:numRef>
          </c:cat>
          <c:val>
            <c:numRef>
              <c:f>'GR-Cost Comp per 10% Reduction'!$E$8:$E$11</c:f>
              <c:numCache>
                <c:formatCode>_("$"* #,##0_);_("$"* \(#,##0\);_("$"* "-"??_);_(@_)</c:formatCode>
                <c:ptCount val="4"/>
                <c:pt idx="0" formatCode="&quot;$&quot;#,##0_);[Red]\(&quot;$&quot;#,##0\)">
                  <c:v>0</c:v>
                </c:pt>
                <c:pt idx="1">
                  <c:v>-33075754.269999981</c:v>
                </c:pt>
                <c:pt idx="2">
                  <c:v>-13822809.5</c:v>
                </c:pt>
                <c:pt idx="3">
                  <c:v>-14665235.869999886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5-4783-BDAB-4420A190D8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3730904"/>
        <c:axId val="253731296"/>
      </c:lineChart>
      <c:catAx>
        <c:axId val="25373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Emission Reduction %</a:t>
                </a:r>
              </a:p>
            </c:rich>
          </c:tx>
          <c:layout>
            <c:manualLayout>
              <c:xMode val="edge"/>
              <c:yMode val="edge"/>
              <c:x val="0.47850325505949681"/>
              <c:y val="0.10220656397843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1296"/>
        <c:crosses val="autoZero"/>
        <c:auto val="1"/>
        <c:lblAlgn val="ctr"/>
        <c:lblOffset val="100"/>
        <c:noMultiLvlLbl val="0"/>
      </c:catAx>
      <c:valAx>
        <c:axId val="2537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Costs Inccurred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ysClr val="windowText" lastClr="000000"/>
                </a:solidFill>
              </a:rPr>
              <a:t>Cost Comparison for Reduced Emissions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26789513375861"/>
          <c:y val="0.21339132983726372"/>
          <c:w val="0.81876365416072761"/>
          <c:h val="0.60853558328208579"/>
        </c:manualLayout>
      </c:layout>
      <c:lineChart>
        <c:grouping val="standard"/>
        <c:varyColors val="0"/>
        <c:ser>
          <c:idx val="1"/>
          <c:order val="0"/>
          <c:tx>
            <c:strRef>
              <c:f>'GR-Overall Cost to Reduce Emiss'!$F$7</c:f>
              <c:strCache>
                <c:ptCount val="1"/>
                <c:pt idx="0">
                  <c:v>Accumulated Cost For Emissions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22985502075746891"/>
                  <c:y val="2.5367852588806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1-44E0-83BA-CC56324EFBFE}"/>
                </c:ext>
              </c:extLst>
            </c:dLbl>
            <c:dLbl>
              <c:idx val="2"/>
              <c:layout>
                <c:manualLayout>
                  <c:x val="-0.22803970705696774"/>
                  <c:y val="3.4880797309609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11-44E0-83BA-CC56324EFBFE}"/>
                </c:ext>
              </c:extLst>
            </c:dLbl>
            <c:dLbl>
              <c:idx val="3"/>
              <c:layout>
                <c:manualLayout>
                  <c:x val="-0.20491060937936856"/>
                  <c:y val="3.8051778883210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11-44E0-83BA-CC56324EFB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'GR-Overall Cost to Reduce Emiss'!$C$8:$C$11</c:f>
              <c:numCache>
                <c:formatCode>0%</c:formatCode>
                <c:ptCount val="4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</c:numCache>
            </c:numRef>
          </c:cat>
          <c:val>
            <c:numRef>
              <c:f>'GR-Overall Cost to Reduce Emiss'!$F$8:$F$11</c:f>
              <c:numCache>
                <c:formatCode>_("$"* #,##0_);_("$"* \(#,##0\);_("$"* "-"??_);_(@_)</c:formatCode>
                <c:ptCount val="4"/>
                <c:pt idx="0" formatCode="&quot;$&quot;#,##0_);[Red]\(&quot;$&quot;#,##0\)">
                  <c:v>0</c:v>
                </c:pt>
                <c:pt idx="1">
                  <c:v>-33075754.269999981</c:v>
                </c:pt>
                <c:pt idx="2">
                  <c:v>-46898563.769999981</c:v>
                </c:pt>
                <c:pt idx="3">
                  <c:v>-61563799.639999866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B-443C-9584-0D250AB1695C}"/>
            </c:ext>
          </c:extLst>
        </c:ser>
        <c:ser>
          <c:idx val="0"/>
          <c:order val="1"/>
          <c:tx>
            <c:strRef>
              <c:f>'GR-Overall Cost to Reduce Emiss'!$E$7</c:f>
              <c:strCache>
                <c:ptCount val="1"/>
                <c:pt idx="0">
                  <c:v>$ Diffecence For Every 10% Decrease in Carbon Emissions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'GR-Overall Cost to Reduce Emiss'!$C$8:$C$11</c:f>
              <c:numCache>
                <c:formatCode>0%</c:formatCode>
                <c:ptCount val="4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</c:numCache>
            </c:numRef>
          </c:cat>
          <c:val>
            <c:numRef>
              <c:f>'GR-Overall Cost to Reduce Emiss'!$E$8:$E$11</c:f>
              <c:numCache>
                <c:formatCode>_("$"* #,##0_);_("$"* \(#,##0\);_("$"* "-"??_);_(@_)</c:formatCode>
                <c:ptCount val="4"/>
                <c:pt idx="0" formatCode="&quot;$&quot;#,##0_);[Red]\(&quot;$&quot;#,##0\)">
                  <c:v>0</c:v>
                </c:pt>
                <c:pt idx="1">
                  <c:v>-33075754.269999981</c:v>
                </c:pt>
                <c:pt idx="2">
                  <c:v>-13822809.5</c:v>
                </c:pt>
                <c:pt idx="3">
                  <c:v>-14665235.869999886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B-443C-9584-0D250AB1695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3732080"/>
        <c:axId val="253732472"/>
      </c:lineChart>
      <c:catAx>
        <c:axId val="25373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Emission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Reduction %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685008481946061"/>
              <c:y val="0.14650783794236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2472"/>
        <c:crosses val="autoZero"/>
        <c:auto val="0"/>
        <c:lblAlgn val="ctr"/>
        <c:lblOffset val="100"/>
        <c:noMultiLvlLbl val="0"/>
      </c:catAx>
      <c:valAx>
        <c:axId val="2537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Cost Incurred</a:t>
                </a:r>
              </a:p>
            </c:rich>
          </c:tx>
          <c:layout>
            <c:manualLayout>
              <c:xMode val="edge"/>
              <c:yMode val="edge"/>
              <c:x val="1.4966773426283338E-2"/>
              <c:y val="0.39598717167318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chemeClr val="tx1"/>
                </a:solidFill>
              </a:rPr>
              <a:t>$3.3</a:t>
            </a:r>
            <a:r>
              <a:rPr lang="en-US" sz="2200" baseline="0">
                <a:solidFill>
                  <a:schemeClr val="tx1"/>
                </a:solidFill>
              </a:rPr>
              <a:t> Billion Budget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'GR-Budget Comp, Emission Reduct'!$D$7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'GR-Budget Comp, Emission Reduct'!$C$8:$C$11</c:f>
              <c:numCache>
                <c:formatCode>0%</c:formatCode>
                <c:ptCount val="4"/>
                <c:pt idx="0" formatCode="General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</c:numCache>
            </c:numRef>
          </c:cat>
          <c:val>
            <c:numRef>
              <c:f>'GR-Budget Comp, Emission Reduct'!$D$8:$D$11</c:f>
              <c:numCache>
                <c:formatCode>_("$"* #,##0_);_("$"* \(#,##0\);_("$"* "-"??_);_(@_)</c:formatCode>
                <c:ptCount val="4"/>
                <c:pt idx="0">
                  <c:v>2999985597.0999999</c:v>
                </c:pt>
                <c:pt idx="1">
                  <c:v>3033061351.3699999</c:v>
                </c:pt>
                <c:pt idx="2">
                  <c:v>3046884160.8699999</c:v>
                </c:pt>
                <c:pt idx="3">
                  <c:v>3061549396.7399998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0-4E14-B0EC-7A74CABCB4E1}"/>
            </c:ext>
          </c:extLst>
        </c:ser>
        <c:ser>
          <c:idx val="1"/>
          <c:order val="0"/>
          <c:tx>
            <c:strRef>
              <c:f>'GR-Budget Comp, Emission Reduct'!$E$7</c:f>
              <c:strCache>
                <c:ptCount val="1"/>
                <c:pt idx="0">
                  <c:v>Budget Surplus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'GR-Budget Comp, Emission Reduct'!$E$8:$E$11</c:f>
              <c:numCache>
                <c:formatCode>_("$"* #,##0_);_("$"* \(#,##0\);_("$"* "-"??_);_(@_)</c:formatCode>
                <c:ptCount val="4"/>
                <c:pt idx="0">
                  <c:v>300014403</c:v>
                </c:pt>
                <c:pt idx="1">
                  <c:v>266938649</c:v>
                </c:pt>
                <c:pt idx="2">
                  <c:v>253115839</c:v>
                </c:pt>
                <c:pt idx="3">
                  <c:v>238450603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0-4E14-B0EC-7A74CABC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733256"/>
        <c:axId val="253733648"/>
      </c:barChart>
      <c:catAx>
        <c:axId val="2537332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Emission Reduction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3648"/>
        <c:crosses val="autoZero"/>
        <c:auto val="1"/>
        <c:lblAlgn val="ctr"/>
        <c:lblOffset val="100"/>
        <c:noMultiLvlLbl val="0"/>
      </c:catAx>
      <c:valAx>
        <c:axId val="2537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Total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650515</xdr:colOff>
      <xdr:row>23</xdr:row>
      <xdr:rowOff>147041</xdr:rowOff>
    </xdr:from>
    <xdr:to>
      <xdr:col>4</xdr:col>
      <xdr:colOff>1382255</xdr:colOff>
      <xdr:row>55</xdr:row>
      <xdr:rowOff>3533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FBB0B9-EFEA-4055-BD6F-40C24F7D0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834101</xdr:colOff>
      <xdr:row>14</xdr:row>
      <xdr:rowOff>12395</xdr:rowOff>
    </xdr:from>
    <xdr:to>
      <xdr:col>5</xdr:col>
      <xdr:colOff>1091864</xdr:colOff>
      <xdr:row>43</xdr:row>
      <xdr:rowOff>9309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B6A5B-8311-4A6D-B01E-BF09DA45D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611894</xdr:colOff>
      <xdr:row>11</xdr:row>
      <xdr:rowOff>86584</xdr:rowOff>
    </xdr:from>
    <xdr:to>
      <xdr:col>6</xdr:col>
      <xdr:colOff>51430</xdr:colOff>
      <xdr:row>32</xdr:row>
      <xdr:rowOff>180053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88747-727D-44AE-A690-4238BB931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351907</xdr:colOff>
      <xdr:row>12</xdr:row>
      <xdr:rowOff>40578</xdr:rowOff>
    </xdr:from>
    <xdr:to>
      <xdr:col>4</xdr:col>
      <xdr:colOff>976315</xdr:colOff>
      <xdr:row>29</xdr:row>
      <xdr:rowOff>16425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8837-205C-425B-9F9A-E0FA3B2A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zoomScaleNormal="100" workbookViewId="0">
      <selection activeCell="D4" sqref="D4:F4"/>
    </sheetView>
  </sheetViews>
  <sheetFormatPr baseColWidth="10" defaultColWidth="8.83203125" defaultRowHeight="15" x14ac:dyDescent="0.2"/>
  <cols>
    <col min="1" max="1" width="14.5" bestFit="1" customWidth="1"/>
    <col min="2" max="2" width="18.5" customWidth="1"/>
    <col min="3" max="3" width="14.5" customWidth="1"/>
    <col min="4" max="4" width="18.1640625" customWidth="1"/>
    <col min="5" max="6" width="9.83203125" bestFit="1" customWidth="1"/>
    <col min="9" max="9" width="12.5" bestFit="1" customWidth="1"/>
  </cols>
  <sheetData>
    <row r="1" spans="1:14" x14ac:dyDescent="0.2">
      <c r="A1" s="332" t="s">
        <v>333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4" ht="16" thickBot="1" x14ac:dyDescent="0.25">
      <c r="A2" s="335"/>
      <c r="B2" s="336"/>
      <c r="C2" s="336"/>
      <c r="D2" s="336"/>
      <c r="E2" s="336"/>
      <c r="F2" s="336"/>
      <c r="G2" s="336"/>
      <c r="H2" s="336"/>
      <c r="I2" s="336"/>
      <c r="J2" s="336"/>
      <c r="K2" s="337"/>
    </row>
    <row r="3" spans="1:14" ht="16" thickBot="1" x14ac:dyDescent="0.25"/>
    <row r="4" spans="1:14" ht="27" thickBot="1" x14ac:dyDescent="0.35">
      <c r="D4" s="338" t="s">
        <v>334</v>
      </c>
      <c r="E4" s="339"/>
      <c r="F4" s="340"/>
    </row>
    <row r="5" spans="1:14" ht="27" thickBot="1" x14ac:dyDescent="0.35">
      <c r="D5" s="301"/>
      <c r="E5" s="301"/>
      <c r="F5" s="301"/>
      <c r="G5" s="301"/>
      <c r="H5" s="301"/>
      <c r="I5" s="301"/>
      <c r="J5" s="301"/>
      <c r="K5" s="301"/>
    </row>
    <row r="6" spans="1:14" ht="20.25" customHeight="1" thickBot="1" x14ac:dyDescent="0.25">
      <c r="A6" s="14" t="s">
        <v>0</v>
      </c>
      <c r="B6" s="15" t="s">
        <v>1</v>
      </c>
      <c r="C6" s="16" t="s">
        <v>44</v>
      </c>
      <c r="D6" s="21"/>
      <c r="E6" s="21"/>
      <c r="F6" s="21"/>
      <c r="G6" s="21"/>
      <c r="H6" s="21"/>
      <c r="I6" s="21"/>
      <c r="J6" s="21"/>
      <c r="K6" s="21"/>
      <c r="L6" s="17"/>
      <c r="M6" s="17"/>
      <c r="N6" s="17"/>
    </row>
    <row r="7" spans="1:14" ht="20" thickBot="1" x14ac:dyDescent="0.3">
      <c r="A7" s="18" t="s">
        <v>2</v>
      </c>
      <c r="B7" s="19">
        <v>1.6500000000000001E-2</v>
      </c>
      <c r="C7" s="20">
        <v>530000</v>
      </c>
      <c r="D7" s="21"/>
      <c r="E7" s="343" t="s">
        <v>42</v>
      </c>
      <c r="F7" s="344"/>
      <c r="G7" s="344"/>
      <c r="H7" s="344"/>
      <c r="I7" s="344"/>
      <c r="J7" s="344"/>
      <c r="K7" s="345"/>
      <c r="L7" s="17"/>
      <c r="M7" s="17"/>
      <c r="N7" s="17"/>
    </row>
    <row r="8" spans="1:14" ht="16" thickBot="1" x14ac:dyDescent="0.25">
      <c r="A8" s="22" t="s">
        <v>3</v>
      </c>
      <c r="B8" s="23">
        <v>2.1999999999999999E-2</v>
      </c>
      <c r="C8" s="24">
        <v>920000</v>
      </c>
      <c r="D8" s="21"/>
      <c r="E8" s="25" t="s">
        <v>5</v>
      </c>
      <c r="F8" s="26" t="s">
        <v>6</v>
      </c>
      <c r="G8" s="26" t="s">
        <v>7</v>
      </c>
      <c r="H8" s="26" t="s">
        <v>8</v>
      </c>
      <c r="I8" s="26" t="s">
        <v>9</v>
      </c>
      <c r="J8" s="26" t="s">
        <v>10</v>
      </c>
      <c r="K8" s="27" t="s">
        <v>11</v>
      </c>
      <c r="L8" s="17"/>
      <c r="M8" s="17"/>
      <c r="N8" s="17"/>
    </row>
    <row r="9" spans="1:14" ht="33" thickBot="1" x14ac:dyDescent="0.25">
      <c r="A9" s="84"/>
      <c r="B9" s="21"/>
      <c r="C9" s="21"/>
      <c r="D9" s="28" t="s">
        <v>35</v>
      </c>
      <c r="E9" s="303">
        <v>1.44</v>
      </c>
      <c r="F9" s="304">
        <v>1.44</v>
      </c>
      <c r="G9" s="304">
        <v>0.61299999999999999</v>
      </c>
      <c r="H9" s="304">
        <v>0.61299999999999999</v>
      </c>
      <c r="I9" s="304">
        <v>0.61299999999999999</v>
      </c>
      <c r="J9" s="304">
        <v>2.8500000000000001E-2</v>
      </c>
      <c r="K9" s="305">
        <v>7.0000000000000001E-3</v>
      </c>
      <c r="L9" s="17"/>
      <c r="M9" s="17"/>
      <c r="N9" s="17"/>
    </row>
    <row r="10" spans="1:14" ht="16" thickBot="1" x14ac:dyDescent="0.25">
      <c r="A10" s="29" t="s">
        <v>4</v>
      </c>
      <c r="B10" s="13">
        <v>3000000000</v>
      </c>
      <c r="C10" s="21"/>
      <c r="D10" s="21"/>
      <c r="E10" s="21"/>
      <c r="F10" s="21"/>
      <c r="G10" s="21"/>
      <c r="H10" s="21"/>
      <c r="I10" s="21"/>
      <c r="J10" s="21"/>
      <c r="K10" s="82"/>
      <c r="L10" s="17"/>
      <c r="M10" s="17"/>
      <c r="N10" s="17"/>
    </row>
    <row r="11" spans="1:14" ht="20" thickBot="1" x14ac:dyDescent="0.3">
      <c r="A11" s="84"/>
      <c r="B11" s="21"/>
      <c r="C11" s="21"/>
      <c r="D11" s="21"/>
      <c r="E11" s="346" t="s">
        <v>12</v>
      </c>
      <c r="F11" s="347"/>
      <c r="G11" s="347"/>
      <c r="H11" s="347"/>
      <c r="I11" s="347"/>
      <c r="J11" s="347"/>
      <c r="K11" s="348"/>
      <c r="L11" s="17"/>
      <c r="M11" s="17"/>
      <c r="N11" s="17"/>
    </row>
    <row r="12" spans="1:14" ht="30" x14ac:dyDescent="0.2">
      <c r="A12" s="84"/>
      <c r="B12" s="30" t="s">
        <v>13</v>
      </c>
      <c r="C12" s="31" t="s">
        <v>14</v>
      </c>
      <c r="D12" s="16" t="s">
        <v>15</v>
      </c>
      <c r="E12" s="32" t="s">
        <v>5</v>
      </c>
      <c r="F12" s="33" t="s">
        <v>6</v>
      </c>
      <c r="G12" s="34" t="s">
        <v>7</v>
      </c>
      <c r="H12" s="33" t="s">
        <v>8</v>
      </c>
      <c r="I12" s="33" t="s">
        <v>9</v>
      </c>
      <c r="J12" s="33" t="s">
        <v>10</v>
      </c>
      <c r="K12" s="35" t="s">
        <v>11</v>
      </c>
      <c r="L12" s="17"/>
      <c r="M12" s="17"/>
      <c r="N12" s="17"/>
    </row>
    <row r="13" spans="1:14" x14ac:dyDescent="0.2">
      <c r="A13" s="84"/>
      <c r="B13" s="36" t="s">
        <v>16</v>
      </c>
      <c r="C13" s="37">
        <v>2508</v>
      </c>
      <c r="D13" s="38">
        <v>1818</v>
      </c>
      <c r="E13" s="39">
        <f>64400</f>
        <v>64400</v>
      </c>
      <c r="F13" s="37">
        <v>70840</v>
      </c>
      <c r="G13" s="40">
        <v>6182.4</v>
      </c>
      <c r="H13" s="37">
        <v>5216.3999999999996</v>
      </c>
      <c r="I13" s="37">
        <v>4830</v>
      </c>
      <c r="J13" s="37">
        <v>4250.3999999999996</v>
      </c>
      <c r="K13" s="41">
        <v>3091.2</v>
      </c>
      <c r="L13" s="17"/>
      <c r="M13" s="17"/>
      <c r="N13" s="17"/>
    </row>
    <row r="14" spans="1:14" x14ac:dyDescent="0.2">
      <c r="A14" s="84"/>
      <c r="B14" s="42" t="s">
        <v>17</v>
      </c>
      <c r="C14" s="43">
        <v>1553</v>
      </c>
      <c r="D14" s="44">
        <v>1996.4</v>
      </c>
      <c r="E14" s="45">
        <f>115920</f>
        <v>115920</v>
      </c>
      <c r="F14" s="43">
        <v>127512</v>
      </c>
      <c r="G14" s="46">
        <v>7084</v>
      </c>
      <c r="H14" s="43">
        <v>5796</v>
      </c>
      <c r="I14" s="43">
        <v>5667.2</v>
      </c>
      <c r="J14" s="43">
        <v>5796</v>
      </c>
      <c r="K14" s="47">
        <v>2704.8</v>
      </c>
      <c r="L14" s="17"/>
      <c r="M14" s="17"/>
      <c r="N14" s="17"/>
    </row>
    <row r="15" spans="1:14" x14ac:dyDescent="0.2">
      <c r="A15" s="84"/>
      <c r="B15" s="48" t="s">
        <v>18</v>
      </c>
      <c r="C15" s="49">
        <v>2508</v>
      </c>
      <c r="D15" s="50">
        <v>1983.4</v>
      </c>
      <c r="E15" s="51">
        <v>64400</v>
      </c>
      <c r="F15" s="49">
        <v>70840</v>
      </c>
      <c r="G15" s="52">
        <v>6182.4</v>
      </c>
      <c r="H15" s="49">
        <v>5216.3999999999996</v>
      </c>
      <c r="I15" s="49">
        <v>4830</v>
      </c>
      <c r="J15" s="49">
        <v>4250.3999999999996</v>
      </c>
      <c r="K15" s="53">
        <v>3091.2</v>
      </c>
      <c r="L15" s="17"/>
      <c r="M15" s="17"/>
      <c r="N15" s="17"/>
    </row>
    <row r="16" spans="1:14" x14ac:dyDescent="0.2">
      <c r="A16" s="84"/>
      <c r="B16" s="48" t="s">
        <v>19</v>
      </c>
      <c r="C16" s="49">
        <v>1553</v>
      </c>
      <c r="D16" s="50">
        <v>2254</v>
      </c>
      <c r="E16" s="51">
        <v>115920</v>
      </c>
      <c r="F16" s="49">
        <v>127512</v>
      </c>
      <c r="G16" s="52">
        <v>7084</v>
      </c>
      <c r="H16" s="49">
        <v>5796</v>
      </c>
      <c r="I16" s="49">
        <v>5667.2</v>
      </c>
      <c r="J16" s="54">
        <v>5796</v>
      </c>
      <c r="K16" s="53">
        <v>2704.8</v>
      </c>
      <c r="L16" s="17"/>
      <c r="M16" s="17"/>
      <c r="N16" s="17"/>
    </row>
    <row r="17" spans="1:14" x14ac:dyDescent="0.2">
      <c r="A17" s="84"/>
      <c r="B17" s="48" t="s">
        <v>20</v>
      </c>
      <c r="C17" s="49">
        <v>1380</v>
      </c>
      <c r="D17" s="50">
        <v>2582.4</v>
      </c>
      <c r="E17" s="51">
        <v>103040</v>
      </c>
      <c r="F17" s="49">
        <v>113344</v>
      </c>
      <c r="G17" s="52">
        <v>7084</v>
      </c>
      <c r="H17" s="49">
        <v>5796</v>
      </c>
      <c r="I17" s="49">
        <v>5667.2</v>
      </c>
      <c r="J17" s="54">
        <v>5796</v>
      </c>
      <c r="K17" s="53">
        <v>3284.4</v>
      </c>
      <c r="L17" s="17"/>
      <c r="M17" s="17"/>
      <c r="N17" s="17"/>
    </row>
    <row r="18" spans="1:14" x14ac:dyDescent="0.2">
      <c r="A18" s="84"/>
      <c r="B18" s="48" t="s">
        <v>21</v>
      </c>
      <c r="C18" s="49">
        <v>2150</v>
      </c>
      <c r="D18" s="50">
        <v>1976.1</v>
      </c>
      <c r="E18" s="51">
        <v>64400</v>
      </c>
      <c r="F18" s="49">
        <v>70840</v>
      </c>
      <c r="G18" s="52">
        <v>6182.4</v>
      </c>
      <c r="H18" s="49">
        <v>5280.8</v>
      </c>
      <c r="I18" s="49">
        <v>5216.3999999999996</v>
      </c>
      <c r="J18" s="49">
        <v>4250.3999999999996</v>
      </c>
      <c r="K18" s="53">
        <v>3091.2</v>
      </c>
      <c r="L18" s="17"/>
      <c r="M18" s="17"/>
      <c r="N18" s="17"/>
    </row>
    <row r="19" spans="1:14" x14ac:dyDescent="0.2">
      <c r="A19" s="84"/>
      <c r="B19" s="48" t="s">
        <v>22</v>
      </c>
      <c r="C19" s="55">
        <v>30</v>
      </c>
      <c r="D19" s="50">
        <v>2711.3</v>
      </c>
      <c r="E19" s="56" t="s">
        <v>23</v>
      </c>
      <c r="F19" s="57" t="s">
        <v>23</v>
      </c>
      <c r="G19" s="52">
        <v>9660</v>
      </c>
      <c r="H19" s="49">
        <v>9016</v>
      </c>
      <c r="I19" s="49">
        <v>8694</v>
      </c>
      <c r="J19" s="57" t="s">
        <v>23</v>
      </c>
      <c r="K19" s="58" t="s">
        <v>23</v>
      </c>
      <c r="L19" s="17"/>
      <c r="M19" s="17"/>
      <c r="N19" s="17"/>
    </row>
    <row r="20" spans="1:14" x14ac:dyDescent="0.2">
      <c r="A20" s="84"/>
      <c r="B20" s="48" t="s">
        <v>24</v>
      </c>
      <c r="C20" s="55">
        <v>690</v>
      </c>
      <c r="D20" s="50">
        <v>2704.8</v>
      </c>
      <c r="E20" s="51">
        <v>135240</v>
      </c>
      <c r="F20" s="49">
        <v>148120</v>
      </c>
      <c r="G20" s="59" t="s">
        <v>23</v>
      </c>
      <c r="H20" s="57" t="s">
        <v>23</v>
      </c>
      <c r="I20" s="57" t="s">
        <v>23</v>
      </c>
      <c r="J20" s="57" t="s">
        <v>23</v>
      </c>
      <c r="K20" s="53">
        <v>3413.2</v>
      </c>
      <c r="L20" s="17"/>
      <c r="M20" s="17"/>
      <c r="N20" s="17"/>
    </row>
    <row r="21" spans="1:14" ht="16" thickBot="1" x14ac:dyDescent="0.25">
      <c r="A21" s="84"/>
      <c r="B21" s="60" t="s">
        <v>25</v>
      </c>
      <c r="C21" s="61">
        <v>686</v>
      </c>
      <c r="D21" s="62">
        <v>2125.1999999999998</v>
      </c>
      <c r="E21" s="63">
        <v>103040</v>
      </c>
      <c r="F21" s="64">
        <v>112700</v>
      </c>
      <c r="G21" s="65">
        <v>7084</v>
      </c>
      <c r="H21" s="64">
        <v>5796</v>
      </c>
      <c r="I21" s="64">
        <v>5538.4</v>
      </c>
      <c r="J21" s="64">
        <v>5860.4</v>
      </c>
      <c r="K21" s="66">
        <v>2769.2</v>
      </c>
      <c r="L21" s="17"/>
      <c r="M21" s="17"/>
      <c r="N21" s="17"/>
    </row>
    <row r="22" spans="1:14" ht="16" thickBot="1" x14ac:dyDescent="0.25">
      <c r="A22" s="8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7"/>
      <c r="M22" s="17"/>
      <c r="N22" s="17"/>
    </row>
    <row r="23" spans="1:14" ht="19" x14ac:dyDescent="0.25">
      <c r="A23" s="349" t="s">
        <v>26</v>
      </c>
      <c r="B23" s="350"/>
      <c r="C23" s="350"/>
      <c r="D23" s="350"/>
      <c r="E23" s="67" t="s">
        <v>2</v>
      </c>
      <c r="F23" s="68" t="s">
        <v>3</v>
      </c>
      <c r="G23" s="69"/>
      <c r="H23" s="21"/>
      <c r="I23" s="21"/>
      <c r="J23" s="21"/>
      <c r="K23" s="21"/>
      <c r="L23" s="17"/>
      <c r="M23" s="17"/>
      <c r="N23" s="17"/>
    </row>
    <row r="24" spans="1:14" x14ac:dyDescent="0.2">
      <c r="A24" s="351" t="s">
        <v>27</v>
      </c>
      <c r="B24" s="352"/>
      <c r="C24" s="352"/>
      <c r="D24" s="352"/>
      <c r="E24" s="70">
        <v>200000</v>
      </c>
      <c r="F24" s="71">
        <v>200000</v>
      </c>
      <c r="G24" s="72" t="s">
        <v>28</v>
      </c>
      <c r="H24" s="21"/>
      <c r="I24" s="21"/>
      <c r="J24" s="21"/>
      <c r="K24" s="21"/>
      <c r="L24" s="17"/>
      <c r="M24" s="17"/>
      <c r="N24" s="17"/>
    </row>
    <row r="25" spans="1:14" ht="15" customHeight="1" x14ac:dyDescent="0.2">
      <c r="A25" s="351" t="s">
        <v>29</v>
      </c>
      <c r="B25" s="352"/>
      <c r="C25" s="352"/>
      <c r="D25" s="352"/>
      <c r="E25" s="70">
        <v>600000</v>
      </c>
      <c r="F25" s="71">
        <v>600000</v>
      </c>
      <c r="G25" s="72" t="s">
        <v>28</v>
      </c>
      <c r="H25" s="21"/>
      <c r="I25" s="21"/>
      <c r="J25" s="21"/>
      <c r="K25" s="21"/>
      <c r="L25" s="17"/>
      <c r="M25" s="17"/>
      <c r="N25" s="17"/>
    </row>
    <row r="26" spans="1:14" ht="15" customHeight="1" x14ac:dyDescent="0.2">
      <c r="A26" s="351" t="s">
        <v>30</v>
      </c>
      <c r="B26" s="352"/>
      <c r="C26" s="352"/>
      <c r="D26" s="352"/>
      <c r="E26" s="70">
        <v>53000</v>
      </c>
      <c r="F26" s="71">
        <v>46000</v>
      </c>
      <c r="G26" s="72" t="s">
        <v>28</v>
      </c>
      <c r="H26" s="21"/>
      <c r="I26" s="21"/>
      <c r="J26" s="21"/>
      <c r="K26" s="21"/>
      <c r="L26" s="17"/>
      <c r="M26" s="17"/>
      <c r="N26" s="17"/>
    </row>
    <row r="27" spans="1:14" ht="15" customHeight="1" x14ac:dyDescent="0.2">
      <c r="A27" s="351" t="s">
        <v>31</v>
      </c>
      <c r="B27" s="352"/>
      <c r="C27" s="352"/>
      <c r="D27" s="352"/>
      <c r="E27" s="70">
        <v>79500</v>
      </c>
      <c r="F27" s="71">
        <v>92000</v>
      </c>
      <c r="G27" s="72" t="s">
        <v>28</v>
      </c>
      <c r="H27" s="21"/>
      <c r="I27" s="21"/>
      <c r="J27" s="21"/>
      <c r="K27" s="21"/>
      <c r="L27" s="17"/>
      <c r="M27" s="17"/>
      <c r="N27" s="17"/>
    </row>
    <row r="28" spans="1:14" ht="15" customHeight="1" thickBot="1" x14ac:dyDescent="0.25">
      <c r="A28" s="341" t="s">
        <v>32</v>
      </c>
      <c r="B28" s="342"/>
      <c r="C28" s="342"/>
      <c r="D28" s="342"/>
      <c r="E28" s="73">
        <v>79500</v>
      </c>
      <c r="F28" s="74">
        <v>138000</v>
      </c>
      <c r="G28" s="75" t="s">
        <v>28</v>
      </c>
      <c r="H28" s="21"/>
      <c r="I28" s="21"/>
      <c r="J28" s="21"/>
      <c r="K28" s="21"/>
      <c r="L28" s="17"/>
      <c r="M28" s="17"/>
      <c r="N28" s="17"/>
    </row>
    <row r="29" spans="1:14" ht="15" customHeight="1" x14ac:dyDescent="0.2"/>
    <row r="30" spans="1:14" ht="15" customHeight="1" x14ac:dyDescent="0.2"/>
  </sheetData>
  <mergeCells count="10">
    <mergeCell ref="A1:K2"/>
    <mergeCell ref="D4:F4"/>
    <mergeCell ref="A28:D28"/>
    <mergeCell ref="E7:K7"/>
    <mergeCell ref="E11:K11"/>
    <mergeCell ref="A23:D23"/>
    <mergeCell ref="A24:D24"/>
    <mergeCell ref="A25:D25"/>
    <mergeCell ref="A26:D26"/>
    <mergeCell ref="A27:D2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12"/>
  <sheetViews>
    <sheetView zoomScale="75" zoomScaleNormal="85" workbookViewId="0">
      <selection sqref="A1:C1"/>
    </sheetView>
  </sheetViews>
  <sheetFormatPr baseColWidth="10" defaultColWidth="8.83203125" defaultRowHeight="15" x14ac:dyDescent="0.2"/>
  <cols>
    <col min="1" max="2" width="17.33203125" bestFit="1" customWidth="1"/>
    <col min="3" max="3" width="22.6640625" bestFit="1" customWidth="1"/>
    <col min="4" max="4" width="16.83203125" bestFit="1" customWidth="1"/>
    <col min="5" max="5" width="29.5" bestFit="1" customWidth="1"/>
    <col min="6" max="6" width="24" bestFit="1" customWidth="1"/>
  </cols>
  <sheetData>
    <row r="1" spans="1:7" ht="22" thickBot="1" x14ac:dyDescent="0.3">
      <c r="A1" s="408" t="s">
        <v>315</v>
      </c>
      <c r="B1" s="409"/>
      <c r="C1" s="410"/>
    </row>
    <row r="3" spans="1:7" ht="16" thickBot="1" x14ac:dyDescent="0.25"/>
    <row r="4" spans="1:7" x14ac:dyDescent="0.2">
      <c r="A4" s="411" t="s">
        <v>332</v>
      </c>
      <c r="B4" s="412"/>
      <c r="C4" s="412"/>
      <c r="D4" s="412"/>
      <c r="E4" s="412"/>
      <c r="F4" s="412"/>
      <c r="G4" s="413"/>
    </row>
    <row r="5" spans="1:7" ht="30.75" customHeight="1" thickBot="1" x14ac:dyDescent="0.25">
      <c r="A5" s="414"/>
      <c r="B5" s="415"/>
      <c r="C5" s="415"/>
      <c r="D5" s="415"/>
      <c r="E5" s="415"/>
      <c r="F5" s="415"/>
      <c r="G5" s="416"/>
    </row>
    <row r="7" spans="1:7" ht="34" x14ac:dyDescent="0.2">
      <c r="B7" s="309" t="s">
        <v>310</v>
      </c>
      <c r="C7" s="309" t="s">
        <v>309</v>
      </c>
      <c r="D7" s="309" t="s">
        <v>38</v>
      </c>
      <c r="E7" s="310" t="s">
        <v>325</v>
      </c>
      <c r="F7" s="310" t="s">
        <v>326</v>
      </c>
    </row>
    <row r="8" spans="1:7" x14ac:dyDescent="0.2">
      <c r="B8" s="325">
        <v>1</v>
      </c>
      <c r="C8" s="322">
        <v>0</v>
      </c>
      <c r="D8" s="319">
        <v>2999985597.0999999</v>
      </c>
      <c r="E8" s="324">
        <v>0</v>
      </c>
      <c r="F8" s="328">
        <v>0</v>
      </c>
    </row>
    <row r="9" spans="1:7" x14ac:dyDescent="0.2">
      <c r="B9" s="325">
        <v>0.9</v>
      </c>
      <c r="C9" s="325">
        <v>-0.1</v>
      </c>
      <c r="D9" s="319">
        <v>3033061351.3699999</v>
      </c>
      <c r="E9" s="326">
        <f>D8-D9</f>
        <v>-33075754.269999981</v>
      </c>
      <c r="F9" s="329">
        <f>E9</f>
        <v>-33075754.269999981</v>
      </c>
    </row>
    <row r="10" spans="1:7" x14ac:dyDescent="0.2">
      <c r="B10" s="325">
        <v>0.8</v>
      </c>
      <c r="C10" s="325">
        <v>-0.2</v>
      </c>
      <c r="D10" s="319">
        <v>3046884160.8699999</v>
      </c>
      <c r="E10" s="326">
        <f>D9-D10</f>
        <v>-13822809.5</v>
      </c>
      <c r="F10" s="329">
        <f>F9+E10</f>
        <v>-46898563.769999981</v>
      </c>
    </row>
    <row r="11" spans="1:7" x14ac:dyDescent="0.2">
      <c r="B11" s="325">
        <v>0.7</v>
      </c>
      <c r="C11" s="325">
        <v>-0.3</v>
      </c>
      <c r="D11" s="319">
        <v>3061549396.7399998</v>
      </c>
      <c r="E11" s="326">
        <f>D10-D11</f>
        <v>-14665235.869999886</v>
      </c>
      <c r="F11" s="329">
        <f>F10+E11</f>
        <v>-61563799.639999866</v>
      </c>
    </row>
    <row r="12" spans="1:7" x14ac:dyDescent="0.2">
      <c r="B12" s="284"/>
      <c r="C12" s="284"/>
      <c r="D12" s="327"/>
      <c r="E12" s="294"/>
    </row>
  </sheetData>
  <mergeCells count="2">
    <mergeCell ref="A1:C1"/>
    <mergeCell ref="A4:G5"/>
  </mergeCells>
  <pageMargins left="0.25" right="0.25" top="0.75" bottom="0.75" header="0.3" footer="0.3"/>
  <pageSetup scale="9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1"/>
  <sheetViews>
    <sheetView zoomScaleNormal="100" workbookViewId="0">
      <selection sqref="A1:D1"/>
    </sheetView>
  </sheetViews>
  <sheetFormatPr baseColWidth="10" defaultColWidth="8.83203125" defaultRowHeight="15" x14ac:dyDescent="0.2"/>
  <cols>
    <col min="1" max="1" width="15.5" customWidth="1"/>
    <col min="2" max="2" width="17.83203125" bestFit="1" customWidth="1"/>
    <col min="3" max="3" width="22.6640625" bestFit="1" customWidth="1"/>
    <col min="4" max="4" width="21.5" customWidth="1"/>
    <col min="5" max="5" width="18.5" customWidth="1"/>
  </cols>
  <sheetData>
    <row r="1" spans="1:7" ht="22" thickBot="1" x14ac:dyDescent="0.3">
      <c r="A1" s="408" t="s">
        <v>312</v>
      </c>
      <c r="B1" s="409"/>
      <c r="C1" s="409"/>
      <c r="D1" s="410"/>
    </row>
    <row r="3" spans="1:7" ht="16" thickBot="1" x14ac:dyDescent="0.25"/>
    <row r="4" spans="1:7" x14ac:dyDescent="0.2">
      <c r="A4" s="417" t="s">
        <v>313</v>
      </c>
      <c r="B4" s="418"/>
      <c r="C4" s="418"/>
      <c r="D4" s="418"/>
      <c r="E4" s="418"/>
      <c r="F4" s="418"/>
      <c r="G4" s="419"/>
    </row>
    <row r="5" spans="1:7" ht="23.5" customHeight="1" thickBot="1" x14ac:dyDescent="0.25">
      <c r="A5" s="420"/>
      <c r="B5" s="421"/>
      <c r="C5" s="421"/>
      <c r="D5" s="421"/>
      <c r="E5" s="421"/>
      <c r="F5" s="421"/>
      <c r="G5" s="422"/>
    </row>
    <row r="7" spans="1:7" ht="16" x14ac:dyDescent="0.2">
      <c r="B7" s="309" t="s">
        <v>310</v>
      </c>
      <c r="C7" s="309" t="s">
        <v>309</v>
      </c>
      <c r="D7" s="309" t="s">
        <v>38</v>
      </c>
      <c r="E7" s="309" t="s">
        <v>327</v>
      </c>
    </row>
    <row r="8" spans="1:7" ht="16" x14ac:dyDescent="0.2">
      <c r="B8" s="314">
        <v>1</v>
      </c>
      <c r="C8" s="315">
        <v>0</v>
      </c>
      <c r="D8" s="330">
        <v>2999985597.0999999</v>
      </c>
      <c r="E8" s="331">
        <v>300014403</v>
      </c>
    </row>
    <row r="9" spans="1:7" ht="16" x14ac:dyDescent="0.2">
      <c r="B9" s="314">
        <v>0.9</v>
      </c>
      <c r="C9" s="314">
        <v>-0.1</v>
      </c>
      <c r="D9" s="330">
        <v>3033061351.3699999</v>
      </c>
      <c r="E9" s="331">
        <v>266938649</v>
      </c>
    </row>
    <row r="10" spans="1:7" ht="16" x14ac:dyDescent="0.2">
      <c r="B10" s="314">
        <v>0.8</v>
      </c>
      <c r="C10" s="314">
        <v>-0.2</v>
      </c>
      <c r="D10" s="330">
        <v>3046884160.8699999</v>
      </c>
      <c r="E10" s="331">
        <v>253115839</v>
      </c>
    </row>
    <row r="11" spans="1:7" ht="16" x14ac:dyDescent="0.2">
      <c r="B11" s="314">
        <v>0.7</v>
      </c>
      <c r="C11" s="314">
        <v>-0.3</v>
      </c>
      <c r="D11" s="330">
        <v>3061549396.7399998</v>
      </c>
      <c r="E11" s="331">
        <v>238450603</v>
      </c>
    </row>
  </sheetData>
  <mergeCells count="2">
    <mergeCell ref="A4:G5"/>
    <mergeCell ref="A1:D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105"/>
  <sheetViews>
    <sheetView tabSelected="1" zoomScale="50" zoomScaleNormal="70" workbookViewId="0">
      <selection activeCell="C24" sqref="C24:C28"/>
    </sheetView>
  </sheetViews>
  <sheetFormatPr baseColWidth="10" defaultColWidth="8.83203125" defaultRowHeight="15" x14ac:dyDescent="0.2"/>
  <cols>
    <col min="1" max="1" width="13.5" bestFit="1" customWidth="1"/>
    <col min="2" max="2" width="18.83203125" bestFit="1" customWidth="1"/>
    <col min="3" max="3" width="20.5" bestFit="1" customWidth="1"/>
    <col min="4" max="4" width="17.83203125" customWidth="1"/>
    <col min="5" max="5" width="19.5" bestFit="1" customWidth="1"/>
    <col min="6" max="8" width="13.5" bestFit="1" customWidth="1"/>
    <col min="9" max="9" width="21.1640625" bestFit="1" customWidth="1"/>
    <col min="10" max="10" width="13.5" bestFit="1" customWidth="1"/>
    <col min="11" max="11" width="12.5" bestFit="1" customWidth="1"/>
    <col min="12" max="12" width="14.83203125" bestFit="1" customWidth="1"/>
    <col min="13" max="13" width="16.5" bestFit="1" customWidth="1"/>
    <col min="14" max="14" width="32.5" bestFit="1" customWidth="1"/>
    <col min="15" max="15" width="17.5" bestFit="1" customWidth="1"/>
    <col min="16" max="16" width="13.1640625" bestFit="1" customWidth="1"/>
    <col min="17" max="17" width="10.5" bestFit="1" customWidth="1"/>
    <col min="18" max="18" width="3" bestFit="1" customWidth="1"/>
    <col min="19" max="19" width="6.1640625" customWidth="1"/>
    <col min="20" max="20" width="14.5" bestFit="1" customWidth="1"/>
    <col min="21" max="21" width="13.1640625" bestFit="1" customWidth="1"/>
    <col min="22" max="22" width="7.1640625" bestFit="1" customWidth="1"/>
    <col min="23" max="23" width="2.1640625" bestFit="1" customWidth="1"/>
    <col min="24" max="24" width="4.5" bestFit="1" customWidth="1"/>
    <col min="25" max="25" width="8.5" customWidth="1"/>
    <col min="26" max="26" width="4" customWidth="1"/>
    <col min="27" max="27" width="11.5" customWidth="1"/>
    <col min="28" max="28" width="3.83203125" customWidth="1"/>
    <col min="29" max="29" width="15.5" bestFit="1" customWidth="1"/>
    <col min="30" max="30" width="10" bestFit="1" customWidth="1"/>
    <col min="31" max="31" width="2.1640625" bestFit="1" customWidth="1"/>
    <col min="32" max="32" width="10.5" bestFit="1" customWidth="1"/>
    <col min="33" max="33" width="4" customWidth="1"/>
    <col min="34" max="34" width="15.5" bestFit="1" customWidth="1"/>
    <col min="35" max="35" width="9.5" bestFit="1" customWidth="1"/>
    <col min="36" max="36" width="2.1640625" bestFit="1" customWidth="1"/>
    <col min="46" max="47" width="8.83203125" bestFit="1" customWidth="1"/>
    <col min="48" max="48" width="11.83203125" bestFit="1" customWidth="1"/>
    <col min="49" max="53" width="8.83203125" bestFit="1" customWidth="1"/>
    <col min="54" max="54" width="11.83203125" bestFit="1" customWidth="1"/>
    <col min="55" max="55" width="10.83203125" bestFit="1" customWidth="1"/>
    <col min="56" max="59" width="8.83203125" bestFit="1" customWidth="1"/>
    <col min="60" max="61" width="10.83203125" bestFit="1" customWidth="1"/>
  </cols>
  <sheetData>
    <row r="1" spans="1:32" ht="19" x14ac:dyDescent="0.25">
      <c r="A1" s="17"/>
      <c r="B1" s="76" t="s">
        <v>33</v>
      </c>
      <c r="C1" s="77"/>
      <c r="D1" s="77"/>
      <c r="E1" s="77"/>
      <c r="F1" s="77"/>
      <c r="G1" s="77"/>
      <c r="H1" s="77"/>
      <c r="I1" s="77"/>
      <c r="J1" s="78"/>
      <c r="K1" s="79"/>
      <c r="L1" s="17"/>
      <c r="M1" s="21"/>
      <c r="N1" s="21"/>
      <c r="O1" s="21"/>
      <c r="P1" s="21"/>
      <c r="Q1" s="17"/>
      <c r="R1" s="17"/>
      <c r="S1" s="17"/>
      <c r="T1" s="17"/>
      <c r="U1" s="17"/>
      <c r="V1" s="17"/>
      <c r="W1" s="17"/>
      <c r="X1" s="17"/>
      <c r="Y1" s="17"/>
    </row>
    <row r="2" spans="1:32" x14ac:dyDescent="0.2">
      <c r="A2" s="17"/>
      <c r="B2" s="80" t="s">
        <v>0</v>
      </c>
      <c r="C2" s="149" t="s">
        <v>1</v>
      </c>
      <c r="D2" s="81" t="s">
        <v>44</v>
      </c>
      <c r="E2" s="148" t="s">
        <v>53</v>
      </c>
      <c r="F2" s="146"/>
      <c r="G2" s="21"/>
      <c r="J2" s="21"/>
      <c r="K2" s="82"/>
      <c r="L2" s="17"/>
      <c r="M2" s="21"/>
      <c r="N2" s="21"/>
      <c r="O2" s="21"/>
      <c r="P2" s="21"/>
      <c r="Q2" s="17"/>
      <c r="R2" s="17"/>
      <c r="S2" s="17"/>
      <c r="T2" s="17"/>
      <c r="U2" s="17"/>
      <c r="V2" s="118"/>
      <c r="W2" s="118"/>
      <c r="X2" s="118"/>
      <c r="Y2" s="118"/>
      <c r="Z2" s="4"/>
      <c r="AA2" s="4"/>
      <c r="AB2" s="4"/>
      <c r="AC2" s="4"/>
      <c r="AD2" s="4"/>
      <c r="AE2" s="4"/>
      <c r="AF2" s="4"/>
    </row>
    <row r="3" spans="1:32" ht="16" thickBot="1" x14ac:dyDescent="0.25">
      <c r="A3" s="17"/>
      <c r="B3" s="172" t="s">
        <v>2</v>
      </c>
      <c r="C3" s="174">
        <v>1.6500000000000001E-2</v>
      </c>
      <c r="D3" s="177">
        <v>530000</v>
      </c>
      <c r="E3" s="177">
        <f>1/C3</f>
        <v>60.606060606060602</v>
      </c>
      <c r="F3" s="147"/>
      <c r="G3" s="21"/>
      <c r="H3" s="21"/>
      <c r="K3" s="82"/>
      <c r="L3" s="17"/>
      <c r="M3" s="21"/>
      <c r="N3" s="17"/>
      <c r="O3" s="21"/>
      <c r="P3" s="21"/>
      <c r="Q3" s="17"/>
      <c r="R3" s="17"/>
      <c r="S3" s="17"/>
      <c r="T3" s="17"/>
      <c r="U3" s="17"/>
      <c r="V3" s="118"/>
      <c r="W3" s="118"/>
      <c r="X3" s="118"/>
      <c r="Y3" s="118"/>
      <c r="Z3" s="4"/>
      <c r="AA3" s="4"/>
      <c r="AB3" s="4"/>
      <c r="AC3" s="4"/>
      <c r="AD3" s="4"/>
      <c r="AE3" s="4"/>
      <c r="AF3" s="4"/>
    </row>
    <row r="4" spans="1:32" ht="20" thickBot="1" x14ac:dyDescent="0.3">
      <c r="A4" s="17"/>
      <c r="B4" s="173" t="s">
        <v>3</v>
      </c>
      <c r="C4" s="175">
        <v>2.1999999999999999E-2</v>
      </c>
      <c r="D4" s="176">
        <v>920000</v>
      </c>
      <c r="E4" s="176">
        <f>1/C4</f>
        <v>45.45454545454546</v>
      </c>
      <c r="F4" s="147"/>
      <c r="G4" s="83"/>
      <c r="H4" s="155" t="s">
        <v>4</v>
      </c>
      <c r="I4" s="156">
        <v>3000000000</v>
      </c>
      <c r="J4" s="21"/>
      <c r="K4" s="82"/>
      <c r="L4" s="17"/>
      <c r="M4" s="21"/>
      <c r="N4" s="21"/>
      <c r="O4" s="21"/>
      <c r="P4" s="21"/>
      <c r="Q4" s="17"/>
      <c r="R4" s="17"/>
      <c r="S4" s="17"/>
      <c r="T4" s="17"/>
      <c r="U4" s="17"/>
      <c r="V4" s="118"/>
      <c r="W4" s="135"/>
      <c r="X4" s="118"/>
      <c r="Y4" s="118"/>
      <c r="Z4" s="118"/>
      <c r="AA4" s="118"/>
      <c r="AB4" s="118"/>
      <c r="AC4" s="118"/>
      <c r="AD4" s="118"/>
      <c r="AE4" s="4"/>
      <c r="AF4" s="4"/>
    </row>
    <row r="5" spans="1:32" ht="16" thickBot="1" x14ac:dyDescent="0.25">
      <c r="A5" s="17"/>
      <c r="B5" s="84"/>
      <c r="C5" s="21"/>
      <c r="D5" s="21"/>
      <c r="E5" s="21"/>
      <c r="F5" s="21"/>
      <c r="G5" s="21"/>
      <c r="H5" s="21"/>
      <c r="I5" s="21"/>
      <c r="J5" s="21"/>
      <c r="K5" s="82"/>
      <c r="L5" s="17"/>
      <c r="M5" s="21"/>
      <c r="N5" s="21"/>
      <c r="O5" s="21"/>
      <c r="P5" s="21"/>
      <c r="Q5" s="17"/>
      <c r="R5" s="17"/>
      <c r="S5" s="17"/>
      <c r="T5" s="17"/>
      <c r="U5" s="17"/>
      <c r="V5" s="118"/>
      <c r="W5" s="136"/>
      <c r="X5" s="118"/>
      <c r="Y5" s="118"/>
      <c r="Z5" s="118"/>
      <c r="AA5" s="118"/>
      <c r="AB5" s="118"/>
      <c r="AC5" s="118"/>
      <c r="AD5" s="118"/>
      <c r="AE5" s="4"/>
      <c r="AF5" s="4"/>
    </row>
    <row r="6" spans="1:32" ht="30" thickBot="1" x14ac:dyDescent="0.4">
      <c r="A6" s="85"/>
      <c r="B6" s="84"/>
      <c r="C6" s="21"/>
      <c r="D6" s="21"/>
      <c r="E6" s="380" t="s">
        <v>42</v>
      </c>
      <c r="F6" s="381"/>
      <c r="G6" s="381"/>
      <c r="H6" s="381"/>
      <c r="I6" s="381"/>
      <c r="J6" s="381"/>
      <c r="K6" s="382"/>
      <c r="L6" s="17"/>
      <c r="M6" s="377" t="s">
        <v>322</v>
      </c>
      <c r="N6" s="378"/>
      <c r="O6" s="379"/>
      <c r="P6" s="21"/>
      <c r="Q6" s="17"/>
      <c r="R6" s="17"/>
      <c r="S6" s="17"/>
      <c r="T6" s="17"/>
      <c r="U6" s="17"/>
      <c r="V6" s="118"/>
      <c r="W6" s="136"/>
      <c r="X6" s="118"/>
      <c r="Y6" s="118"/>
      <c r="Z6" s="118"/>
      <c r="AA6" s="118"/>
      <c r="AB6" s="118"/>
      <c r="AC6" s="118"/>
      <c r="AD6" s="118"/>
      <c r="AE6" s="4"/>
      <c r="AF6" s="4"/>
    </row>
    <row r="7" spans="1:32" ht="16" thickBot="1" x14ac:dyDescent="0.25">
      <c r="A7" s="85"/>
      <c r="B7" s="86"/>
      <c r="C7" s="21"/>
      <c r="D7" s="21"/>
      <c r="E7" s="150" t="s">
        <v>5</v>
      </c>
      <c r="F7" s="151" t="s">
        <v>6</v>
      </c>
      <c r="G7" s="25" t="s">
        <v>7</v>
      </c>
      <c r="H7" s="26" t="s">
        <v>8</v>
      </c>
      <c r="I7" s="27" t="s">
        <v>9</v>
      </c>
      <c r="J7" s="216" t="s">
        <v>10</v>
      </c>
      <c r="K7" s="152" t="s">
        <v>11</v>
      </c>
      <c r="L7" s="17"/>
      <c r="M7" s="21"/>
      <c r="N7" s="21"/>
      <c r="O7" s="21"/>
      <c r="P7" s="21"/>
      <c r="Q7" s="17"/>
      <c r="R7" s="17"/>
      <c r="S7" s="17"/>
      <c r="T7" s="17"/>
      <c r="U7" s="17"/>
      <c r="V7" s="118"/>
      <c r="W7" s="137"/>
      <c r="X7" s="138"/>
      <c r="Y7" s="118"/>
      <c r="Z7" s="118"/>
      <c r="AA7" s="118"/>
      <c r="AB7" s="118"/>
      <c r="AC7" s="118"/>
      <c r="AD7" s="118"/>
      <c r="AE7" s="4"/>
      <c r="AF7" s="4"/>
    </row>
    <row r="8" spans="1:32" x14ac:dyDescent="0.2">
      <c r="A8" s="85"/>
      <c r="B8" s="87"/>
      <c r="C8" s="383" t="s">
        <v>35</v>
      </c>
      <c r="D8" s="384"/>
      <c r="E8" s="206">
        <v>1.44</v>
      </c>
      <c r="F8" s="207">
        <v>1.44</v>
      </c>
      <c r="G8" s="206">
        <v>6.13E-2</v>
      </c>
      <c r="H8" s="215">
        <v>6.13E-2</v>
      </c>
      <c r="I8" s="207">
        <v>6.13E-2</v>
      </c>
      <c r="J8" s="208">
        <v>2.8500000000000001E-2</v>
      </c>
      <c r="K8" s="153">
        <v>7.0000000000000001E-3</v>
      </c>
      <c r="L8" s="17"/>
      <c r="M8" s="21"/>
      <c r="N8" s="21"/>
      <c r="O8" s="21"/>
      <c r="P8" s="21"/>
      <c r="Q8" s="17"/>
      <c r="R8" s="17"/>
      <c r="S8" s="17"/>
      <c r="T8" s="17"/>
      <c r="U8" s="17"/>
      <c r="V8" s="118"/>
      <c r="W8" s="118"/>
      <c r="X8" s="118"/>
      <c r="Y8" s="118"/>
      <c r="Z8" s="4"/>
      <c r="AA8" s="4"/>
      <c r="AB8" s="4"/>
      <c r="AC8" s="4"/>
      <c r="AD8" s="4"/>
      <c r="AE8" s="4"/>
      <c r="AF8" s="4"/>
    </row>
    <row r="9" spans="1:32" x14ac:dyDescent="0.2">
      <c r="A9" s="85"/>
      <c r="B9" s="86"/>
      <c r="C9" s="385" t="s">
        <v>63</v>
      </c>
      <c r="D9" s="386"/>
      <c r="E9" s="398">
        <v>53000</v>
      </c>
      <c r="F9" s="399"/>
      <c r="G9" s="402">
        <v>79500</v>
      </c>
      <c r="H9" s="403"/>
      <c r="I9" s="404"/>
      <c r="J9" s="208">
        <v>79500</v>
      </c>
      <c r="K9" s="153">
        <v>0</v>
      </c>
      <c r="L9" s="17"/>
      <c r="M9" s="21"/>
      <c r="N9" s="21"/>
      <c r="O9" s="21"/>
      <c r="P9" s="21"/>
      <c r="Q9" s="17"/>
      <c r="R9" s="17"/>
      <c r="S9" s="17"/>
      <c r="T9" s="17"/>
      <c r="U9" s="17"/>
      <c r="V9" s="118"/>
      <c r="W9" s="118"/>
      <c r="X9" s="118"/>
      <c r="Y9" s="118"/>
      <c r="Z9" s="4"/>
      <c r="AA9" s="4"/>
      <c r="AB9" s="4"/>
      <c r="AC9" s="4"/>
      <c r="AD9" s="4"/>
      <c r="AE9" s="4"/>
      <c r="AF9" s="4"/>
    </row>
    <row r="10" spans="1:32" ht="16" thickBot="1" x14ac:dyDescent="0.25">
      <c r="A10" s="85"/>
      <c r="B10" s="84"/>
      <c r="C10" s="387" t="s">
        <v>64</v>
      </c>
      <c r="D10" s="388"/>
      <c r="E10" s="400">
        <v>46000</v>
      </c>
      <c r="F10" s="401"/>
      <c r="G10" s="368">
        <v>92000</v>
      </c>
      <c r="H10" s="369"/>
      <c r="I10" s="370"/>
      <c r="J10" s="198">
        <v>138000</v>
      </c>
      <c r="K10" s="154">
        <v>0</v>
      </c>
      <c r="L10" s="17"/>
      <c r="M10" s="21"/>
      <c r="N10" s="17"/>
      <c r="O10" s="21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32" ht="16" thickBot="1" x14ac:dyDescent="0.25">
      <c r="A11" s="85"/>
      <c r="B11" s="84"/>
      <c r="C11" s="21"/>
      <c r="D11" s="21"/>
      <c r="E11" s="21"/>
      <c r="F11" s="21"/>
      <c r="G11" s="21"/>
      <c r="H11" s="21"/>
      <c r="I11" s="21"/>
      <c r="J11" s="21"/>
      <c r="K11" s="82"/>
      <c r="L11" s="17"/>
      <c r="M11" s="21"/>
      <c r="N11" s="88"/>
      <c r="O11" s="21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32" ht="20" thickBot="1" x14ac:dyDescent="0.3">
      <c r="A12" s="85"/>
      <c r="B12" s="84"/>
      <c r="C12" s="21"/>
      <c r="D12" s="21"/>
      <c r="E12" s="389" t="s">
        <v>39</v>
      </c>
      <c r="F12" s="390"/>
      <c r="G12" s="390"/>
      <c r="H12" s="390"/>
      <c r="I12" s="390"/>
      <c r="J12" s="390"/>
      <c r="K12" s="391"/>
      <c r="M12" s="374" t="s">
        <v>58</v>
      </c>
      <c r="N12" s="375"/>
      <c r="O12" s="376"/>
      <c r="P12" s="21"/>
      <c r="Q12" s="17"/>
      <c r="R12" s="17"/>
      <c r="S12" s="17"/>
      <c r="T12" s="17"/>
      <c r="X12" s="17"/>
      <c r="Y12" s="17"/>
    </row>
    <row r="13" spans="1:32" ht="30" customHeight="1" x14ac:dyDescent="0.2">
      <c r="A13" s="85"/>
      <c r="B13" s="89" t="s">
        <v>43</v>
      </c>
      <c r="C13" s="81" t="s">
        <v>14</v>
      </c>
      <c r="D13" s="90" t="s">
        <v>15</v>
      </c>
      <c r="E13" s="165" t="s">
        <v>5</v>
      </c>
      <c r="F13" s="163" t="s">
        <v>6</v>
      </c>
      <c r="G13" s="164" t="s">
        <v>7</v>
      </c>
      <c r="H13" s="163" t="s">
        <v>8</v>
      </c>
      <c r="I13" s="163" t="s">
        <v>9</v>
      </c>
      <c r="J13" s="163" t="s">
        <v>10</v>
      </c>
      <c r="K13" s="166" t="s">
        <v>11</v>
      </c>
      <c r="M13" s="157"/>
      <c r="N13" s="162" t="s">
        <v>56</v>
      </c>
      <c r="O13" s="161" t="s">
        <v>57</v>
      </c>
      <c r="P13" s="21"/>
      <c r="Q13" s="17"/>
      <c r="R13" s="17"/>
      <c r="S13" s="17"/>
      <c r="T13" s="17"/>
      <c r="X13" s="17"/>
      <c r="Y13" s="17"/>
    </row>
    <row r="14" spans="1:32" x14ac:dyDescent="0.2">
      <c r="A14" s="85"/>
      <c r="B14" s="36" t="s">
        <v>16</v>
      </c>
      <c r="C14" s="37">
        <v>2508</v>
      </c>
      <c r="D14" s="231">
        <v>1818</v>
      </c>
      <c r="E14" s="232">
        <f>64400</f>
        <v>64400</v>
      </c>
      <c r="F14" s="233">
        <f>70840</f>
        <v>70840</v>
      </c>
      <c r="G14" s="231">
        <f>6182.4</f>
        <v>6182.4</v>
      </c>
      <c r="H14" s="233">
        <f>5216.4</f>
        <v>5216.3999999999996</v>
      </c>
      <c r="I14" s="233">
        <f>4830</f>
        <v>4830</v>
      </c>
      <c r="J14" s="233">
        <f>4250.4</f>
        <v>4250.3999999999996</v>
      </c>
      <c r="K14" s="234">
        <f>3091.2</f>
        <v>3091.2</v>
      </c>
      <c r="M14" s="129" t="s">
        <v>16</v>
      </c>
      <c r="N14" s="132">
        <f>M38*D14</f>
        <v>963540000</v>
      </c>
      <c r="O14" s="133">
        <f>SUMPRODUCT(E14:K14,E38:K38)*C3</f>
        <v>84448541.100000009</v>
      </c>
      <c r="P14" s="21"/>
      <c r="Q14" s="17"/>
      <c r="R14" s="88"/>
      <c r="S14" s="17"/>
      <c r="T14" s="17"/>
      <c r="U14" s="17"/>
      <c r="V14" s="17"/>
      <c r="W14" s="17"/>
      <c r="X14" s="17"/>
      <c r="Y14" s="17"/>
    </row>
    <row r="15" spans="1:32" x14ac:dyDescent="0.2">
      <c r="A15" s="85"/>
      <c r="B15" s="42" t="s">
        <v>17</v>
      </c>
      <c r="C15" s="43">
        <v>1553</v>
      </c>
      <c r="D15" s="235">
        <v>1996.4</v>
      </c>
      <c r="E15" s="236">
        <f>115920</f>
        <v>115920</v>
      </c>
      <c r="F15" s="237">
        <f>127512</f>
        <v>127512</v>
      </c>
      <c r="G15" s="235">
        <f>7084</f>
        <v>7084</v>
      </c>
      <c r="H15" s="237">
        <f>5796</f>
        <v>5796</v>
      </c>
      <c r="I15" s="237">
        <f>5667.2</f>
        <v>5667.2</v>
      </c>
      <c r="J15" s="237">
        <f>5796</f>
        <v>5796</v>
      </c>
      <c r="K15" s="238">
        <f>2704.8</f>
        <v>2704.8</v>
      </c>
      <c r="M15" s="130" t="s">
        <v>17</v>
      </c>
      <c r="N15" s="132">
        <f t="shared" ref="N15:N22" si="0">M39*D15</f>
        <v>0</v>
      </c>
      <c r="O15" s="133">
        <f>SUMPRODUCT(E15:K15,E39:K39)*C3</f>
        <v>0</v>
      </c>
      <c r="P15" s="21"/>
      <c r="Q15" s="17"/>
      <c r="R15" s="88"/>
      <c r="S15" s="17"/>
      <c r="T15" s="17"/>
      <c r="U15" s="17"/>
      <c r="V15" s="17"/>
      <c r="W15" s="17"/>
      <c r="X15" s="17"/>
      <c r="Y15" s="17"/>
    </row>
    <row r="16" spans="1:32" x14ac:dyDescent="0.2">
      <c r="A16" s="85"/>
      <c r="B16" s="48" t="s">
        <v>18</v>
      </c>
      <c r="C16" s="49">
        <v>2508</v>
      </c>
      <c r="D16" s="239">
        <v>1983.4</v>
      </c>
      <c r="E16" s="240">
        <f>64400</f>
        <v>64400</v>
      </c>
      <c r="F16" s="241">
        <f>70840</f>
        <v>70840</v>
      </c>
      <c r="G16" s="239">
        <f>6182.4</f>
        <v>6182.4</v>
      </c>
      <c r="H16" s="241">
        <f>5216.4</f>
        <v>5216.3999999999996</v>
      </c>
      <c r="I16" s="241">
        <f>4830</f>
        <v>4830</v>
      </c>
      <c r="J16" s="241">
        <f>4250.4</f>
        <v>4250.3999999999996</v>
      </c>
      <c r="K16" s="242">
        <f>3091.2</f>
        <v>3091.2</v>
      </c>
      <c r="M16" s="205" t="s">
        <v>18</v>
      </c>
      <c r="N16" s="132">
        <f t="shared" si="0"/>
        <v>634688000</v>
      </c>
      <c r="O16" s="133">
        <f t="shared" ref="O16:O22" si="1">SUMPRODUCT(E16:K16,E40:K40)*$C$4</f>
        <v>90845216</v>
      </c>
      <c r="P16" s="17"/>
      <c r="Q16" s="17"/>
      <c r="R16" s="17"/>
      <c r="S16" s="17"/>
      <c r="T16" s="88"/>
      <c r="U16" s="17"/>
      <c r="V16" s="17"/>
      <c r="W16" s="17"/>
      <c r="X16" s="17"/>
      <c r="Y16" s="17"/>
    </row>
    <row r="17" spans="1:39" x14ac:dyDescent="0.2">
      <c r="A17" s="85"/>
      <c r="B17" s="48" t="s">
        <v>19</v>
      </c>
      <c r="C17" s="49">
        <v>1553</v>
      </c>
      <c r="D17" s="239">
        <v>2254</v>
      </c>
      <c r="E17" s="240">
        <f>115920</f>
        <v>115920</v>
      </c>
      <c r="F17" s="241">
        <f>127512</f>
        <v>127512</v>
      </c>
      <c r="G17" s="239">
        <f>7084</f>
        <v>7084</v>
      </c>
      <c r="H17" s="241">
        <f>5796</f>
        <v>5796</v>
      </c>
      <c r="I17" s="241">
        <f>5667.2</f>
        <v>5667.2</v>
      </c>
      <c r="J17" s="241">
        <f>5796</f>
        <v>5796</v>
      </c>
      <c r="K17" s="243">
        <f>2704.8</f>
        <v>2704.8</v>
      </c>
      <c r="M17" s="205" t="s">
        <v>19</v>
      </c>
      <c r="N17" s="132">
        <f t="shared" si="0"/>
        <v>0</v>
      </c>
      <c r="O17" s="133">
        <f t="shared" si="1"/>
        <v>0</v>
      </c>
      <c r="P17" s="17"/>
      <c r="Q17" s="17"/>
      <c r="R17" s="17"/>
      <c r="S17" s="17"/>
      <c r="T17" s="88"/>
      <c r="U17" s="17"/>
      <c r="V17" s="17"/>
      <c r="W17" s="17"/>
      <c r="X17" s="17"/>
      <c r="Y17" s="17"/>
    </row>
    <row r="18" spans="1:39" x14ac:dyDescent="0.2">
      <c r="A18" s="85"/>
      <c r="B18" s="48" t="s">
        <v>20</v>
      </c>
      <c r="C18" s="49">
        <v>1380</v>
      </c>
      <c r="D18" s="239">
        <v>2582.4</v>
      </c>
      <c r="E18" s="240">
        <f>103040</f>
        <v>103040</v>
      </c>
      <c r="F18" s="241">
        <f>113344</f>
        <v>113344</v>
      </c>
      <c r="G18" s="239">
        <f>7084</f>
        <v>7084</v>
      </c>
      <c r="H18" s="241">
        <f>5796</f>
        <v>5796</v>
      </c>
      <c r="I18" s="241">
        <f>5667.2</f>
        <v>5667.2</v>
      </c>
      <c r="J18" s="241">
        <f>5796</f>
        <v>5796</v>
      </c>
      <c r="K18" s="242">
        <f>3284.4</f>
        <v>3284.4</v>
      </c>
      <c r="M18" s="205" t="s">
        <v>20</v>
      </c>
      <c r="N18" s="132">
        <f t="shared" si="0"/>
        <v>0</v>
      </c>
      <c r="O18" s="133">
        <f t="shared" si="1"/>
        <v>0</v>
      </c>
      <c r="P18" s="17"/>
      <c r="Q18" s="17"/>
      <c r="R18" s="17"/>
      <c r="S18" s="17"/>
      <c r="T18" s="88"/>
      <c r="U18" s="17"/>
      <c r="V18" s="17"/>
      <c r="W18" s="17"/>
      <c r="X18" s="17"/>
      <c r="Y18" s="17"/>
      <c r="AJ18" s="3"/>
      <c r="AK18" s="3"/>
      <c r="AL18" s="3"/>
      <c r="AM18" s="3"/>
    </row>
    <row r="19" spans="1:39" x14ac:dyDescent="0.2">
      <c r="A19" s="85"/>
      <c r="B19" s="48" t="s">
        <v>21</v>
      </c>
      <c r="C19" s="49">
        <v>2150</v>
      </c>
      <c r="D19" s="239">
        <v>1976.1</v>
      </c>
      <c r="E19" s="240">
        <f>64400</f>
        <v>64400</v>
      </c>
      <c r="F19" s="241">
        <f>70840</f>
        <v>70840</v>
      </c>
      <c r="G19" s="239">
        <f>6182.4</f>
        <v>6182.4</v>
      </c>
      <c r="H19" s="241">
        <f>5280.8</f>
        <v>5280.8</v>
      </c>
      <c r="I19" s="241">
        <f>5216.4</f>
        <v>5216.3999999999996</v>
      </c>
      <c r="J19" s="241">
        <f>4250.4</f>
        <v>4250.3999999999996</v>
      </c>
      <c r="K19" s="242">
        <f>3091.2</f>
        <v>3091.2</v>
      </c>
      <c r="M19" s="205" t="s">
        <v>21</v>
      </c>
      <c r="N19" s="132">
        <f t="shared" si="0"/>
        <v>1185660000</v>
      </c>
      <c r="O19" s="133">
        <f t="shared" si="1"/>
        <v>40803840</v>
      </c>
      <c r="P19" s="17"/>
      <c r="Q19" s="21"/>
      <c r="R19" s="17"/>
      <c r="S19" s="17"/>
      <c r="T19" s="88"/>
      <c r="U19" s="17"/>
      <c r="V19" s="17"/>
      <c r="W19" s="17"/>
      <c r="X19" s="17"/>
      <c r="Y19" s="17"/>
      <c r="AJ19" s="3"/>
      <c r="AK19" s="3"/>
      <c r="AL19" s="3"/>
      <c r="AM19" s="3"/>
    </row>
    <row r="20" spans="1:39" x14ac:dyDescent="0.2">
      <c r="A20" s="85"/>
      <c r="B20" s="48" t="s">
        <v>22</v>
      </c>
      <c r="C20" s="55">
        <v>30</v>
      </c>
      <c r="D20" s="239">
        <v>2711.3</v>
      </c>
      <c r="E20" s="244">
        <v>0</v>
      </c>
      <c r="F20" s="245">
        <v>0</v>
      </c>
      <c r="G20" s="239">
        <f>9660</f>
        <v>9660</v>
      </c>
      <c r="H20" s="241">
        <f>9016</f>
        <v>9016</v>
      </c>
      <c r="I20" s="241">
        <f>8694</f>
        <v>8694</v>
      </c>
      <c r="J20" s="245">
        <v>0</v>
      </c>
      <c r="K20" s="246">
        <v>0</v>
      </c>
      <c r="M20" s="205" t="s">
        <v>22</v>
      </c>
      <c r="N20" s="132">
        <f t="shared" si="0"/>
        <v>0</v>
      </c>
      <c r="O20" s="133">
        <f t="shared" si="1"/>
        <v>0</v>
      </c>
      <c r="P20" s="17"/>
      <c r="Q20" s="21"/>
      <c r="R20" s="17"/>
      <c r="S20" s="17"/>
      <c r="T20" s="17"/>
      <c r="U20" s="17"/>
      <c r="V20" s="17"/>
      <c r="W20" s="17"/>
      <c r="X20" s="17"/>
      <c r="Y20" s="17"/>
      <c r="AJ20" s="3"/>
      <c r="AK20" s="3"/>
      <c r="AL20" s="3"/>
      <c r="AM20" s="3"/>
    </row>
    <row r="21" spans="1:39" x14ac:dyDescent="0.2">
      <c r="A21" s="85"/>
      <c r="B21" s="48" t="s">
        <v>24</v>
      </c>
      <c r="C21" s="55">
        <v>690</v>
      </c>
      <c r="D21" s="239">
        <v>2704.8</v>
      </c>
      <c r="E21" s="240">
        <f>135240</f>
        <v>135240</v>
      </c>
      <c r="F21" s="241">
        <f>148120</f>
        <v>148120</v>
      </c>
      <c r="G21" s="247">
        <v>0</v>
      </c>
      <c r="H21" s="245">
        <v>0</v>
      </c>
      <c r="I21" s="245">
        <v>0</v>
      </c>
      <c r="J21" s="245">
        <v>0</v>
      </c>
      <c r="K21" s="242">
        <f>3413.2</f>
        <v>3413.2</v>
      </c>
      <c r="M21" s="205" t="s">
        <v>24</v>
      </c>
      <c r="N21" s="132">
        <f t="shared" si="0"/>
        <v>0</v>
      </c>
      <c r="O21" s="133">
        <f t="shared" si="1"/>
        <v>0</v>
      </c>
      <c r="P21" s="17"/>
      <c r="Q21" s="21"/>
      <c r="R21" s="17"/>
      <c r="S21" s="17"/>
      <c r="T21" s="88"/>
      <c r="U21" s="17"/>
      <c r="V21" s="17"/>
      <c r="W21" s="17"/>
      <c r="X21" s="17"/>
      <c r="Y21" s="17"/>
      <c r="AJ21" s="3"/>
      <c r="AK21" s="3"/>
      <c r="AL21" s="3"/>
      <c r="AM21" s="3"/>
    </row>
    <row r="22" spans="1:39" ht="16" thickBot="1" x14ac:dyDescent="0.25">
      <c r="A22" s="85"/>
      <c r="B22" s="60" t="s">
        <v>25</v>
      </c>
      <c r="C22" s="61">
        <v>686</v>
      </c>
      <c r="D22" s="248">
        <v>2125.1999999999998</v>
      </c>
      <c r="E22" s="249">
        <f>103040</f>
        <v>103040</v>
      </c>
      <c r="F22" s="250">
        <f>112700</f>
        <v>112700</v>
      </c>
      <c r="G22" s="248">
        <f>7084</f>
        <v>7084</v>
      </c>
      <c r="H22" s="250">
        <f>5796</f>
        <v>5796</v>
      </c>
      <c r="I22" s="250">
        <f>5538.4</f>
        <v>5538.4</v>
      </c>
      <c r="J22" s="250">
        <f>5860.4</f>
        <v>5860.4</v>
      </c>
      <c r="K22" s="251">
        <f>2769.2</f>
        <v>2769.2</v>
      </c>
      <c r="M22" s="131" t="s">
        <v>25</v>
      </c>
      <c r="N22" s="134">
        <f t="shared" si="0"/>
        <v>0</v>
      </c>
      <c r="O22" s="209">
        <f t="shared" si="1"/>
        <v>0</v>
      </c>
      <c r="P22" s="17"/>
      <c r="Q22" s="17"/>
      <c r="R22" s="17"/>
      <c r="S22" s="17"/>
      <c r="T22" s="88"/>
      <c r="U22" s="17"/>
      <c r="V22" s="17"/>
      <c r="W22" s="17"/>
      <c r="X22" s="17"/>
      <c r="Y22" s="17"/>
      <c r="AJ22" s="3"/>
      <c r="AK22" s="3"/>
      <c r="AL22" s="3"/>
      <c r="AM22" s="3"/>
    </row>
    <row r="23" spans="1:39" ht="22" thickBot="1" x14ac:dyDescent="0.3">
      <c r="A23" s="85"/>
      <c r="B23" s="17"/>
      <c r="C23" s="17"/>
      <c r="D23" s="17"/>
      <c r="E23" s="17"/>
      <c r="F23" s="17"/>
      <c r="G23" s="17"/>
      <c r="H23" s="17"/>
      <c r="I23" s="17"/>
      <c r="J23" s="17"/>
      <c r="K23" s="17"/>
      <c r="M23" s="213" t="s">
        <v>38</v>
      </c>
      <c r="N23" s="214">
        <f>SUM(N14:O22)</f>
        <v>2999985597.0999999</v>
      </c>
      <c r="O23" s="145"/>
      <c r="Q23" s="17"/>
      <c r="R23" s="17"/>
      <c r="S23" s="17"/>
      <c r="T23" s="17"/>
      <c r="U23" s="17"/>
      <c r="V23" s="17"/>
      <c r="W23" s="17"/>
      <c r="X23" s="17"/>
      <c r="Y23" s="17"/>
      <c r="AH23" s="1"/>
      <c r="AJ23" s="3"/>
      <c r="AK23" s="3"/>
      <c r="AL23" s="8"/>
      <c r="AM23" s="3"/>
    </row>
    <row r="24" spans="1:39" ht="15" customHeight="1" x14ac:dyDescent="0.2">
      <c r="A24" s="85"/>
      <c r="B24" s="17"/>
      <c r="C24" s="405" t="s">
        <v>329</v>
      </c>
      <c r="D24" s="30" t="s">
        <v>43</v>
      </c>
      <c r="E24" s="218" t="s">
        <v>5</v>
      </c>
      <c r="F24" s="225" t="s">
        <v>6</v>
      </c>
      <c r="G24" s="218" t="s">
        <v>7</v>
      </c>
      <c r="H24" s="225" t="s">
        <v>8</v>
      </c>
      <c r="I24" s="218" t="s">
        <v>9</v>
      </c>
      <c r="J24" s="218" t="s">
        <v>10</v>
      </c>
      <c r="K24" s="227" t="s">
        <v>11</v>
      </c>
      <c r="U24" s="17"/>
      <c r="V24" s="17"/>
      <c r="W24" s="17"/>
      <c r="X24" s="17"/>
      <c r="Y24" s="17"/>
      <c r="AH24" s="1"/>
      <c r="AJ24" s="3"/>
      <c r="AK24" s="3"/>
      <c r="AL24" s="10"/>
      <c r="AM24" s="3"/>
    </row>
    <row r="25" spans="1:39" ht="16" thickBot="1" x14ac:dyDescent="0.25">
      <c r="A25" s="85"/>
      <c r="B25" s="17"/>
      <c r="C25" s="406"/>
      <c r="D25" s="36" t="s">
        <v>16</v>
      </c>
      <c r="E25" s="226">
        <f t="shared" ref="E25:K25" si="2">$C$3*E8*$C$14</f>
        <v>59.59008</v>
      </c>
      <c r="F25" s="211">
        <f t="shared" si="2"/>
        <v>59.59008</v>
      </c>
      <c r="G25" s="226">
        <f t="shared" si="2"/>
        <v>2.5367166000000001</v>
      </c>
      <c r="H25" s="211">
        <f t="shared" si="2"/>
        <v>2.5367166000000001</v>
      </c>
      <c r="I25" s="226">
        <f t="shared" si="2"/>
        <v>2.5367166000000001</v>
      </c>
      <c r="J25" s="226">
        <f t="shared" si="2"/>
        <v>1.179387</v>
      </c>
      <c r="K25" s="125">
        <f t="shared" si="2"/>
        <v>0.28967399999999999</v>
      </c>
      <c r="S25" s="17"/>
      <c r="T25" s="17"/>
      <c r="U25" s="17"/>
      <c r="V25" s="17"/>
      <c r="W25" s="17"/>
      <c r="X25" s="17"/>
      <c r="Y25" s="17"/>
      <c r="AH25" s="1"/>
      <c r="AJ25" s="3"/>
      <c r="AK25" s="3"/>
      <c r="AL25" s="10"/>
      <c r="AM25" s="3"/>
    </row>
    <row r="26" spans="1:39" ht="20" thickBot="1" x14ac:dyDescent="0.3">
      <c r="A26" s="85"/>
      <c r="B26" s="17"/>
      <c r="C26" s="406"/>
      <c r="D26" s="42" t="s">
        <v>17</v>
      </c>
      <c r="E26" s="226">
        <f t="shared" ref="E26:K26" si="3">$C$3*E8*$C$15</f>
        <v>36.899279999999997</v>
      </c>
      <c r="F26" s="211">
        <f t="shared" si="3"/>
        <v>36.899279999999997</v>
      </c>
      <c r="G26" s="226">
        <f t="shared" si="3"/>
        <v>1.5707818500000001</v>
      </c>
      <c r="H26" s="211">
        <f t="shared" si="3"/>
        <v>1.5707818500000001</v>
      </c>
      <c r="I26" s="226">
        <f t="shared" si="3"/>
        <v>1.5707818500000001</v>
      </c>
      <c r="J26" s="226">
        <f t="shared" si="3"/>
        <v>0.73029825000000004</v>
      </c>
      <c r="K26" s="125">
        <f t="shared" si="3"/>
        <v>0.17937150000000002</v>
      </c>
      <c r="M26" s="374" t="s">
        <v>47</v>
      </c>
      <c r="N26" s="375"/>
      <c r="O26" s="376"/>
      <c r="S26" s="17"/>
      <c r="T26" s="17"/>
      <c r="U26" s="17"/>
      <c r="V26" s="17"/>
      <c r="W26" s="17"/>
      <c r="X26" s="17"/>
      <c r="Y26" s="17"/>
      <c r="AH26" s="1"/>
      <c r="AJ26" s="3"/>
      <c r="AK26" s="3"/>
      <c r="AL26" s="10"/>
      <c r="AM26" s="3"/>
    </row>
    <row r="27" spans="1:39" ht="16" thickBot="1" x14ac:dyDescent="0.25">
      <c r="A27" s="85"/>
      <c r="B27" s="17"/>
      <c r="C27" s="406"/>
      <c r="D27" s="48" t="s">
        <v>18</v>
      </c>
      <c r="E27" s="226">
        <f t="shared" ref="E27:K27" si="4">$C$4*E8*$C$16</f>
        <v>79.453440000000001</v>
      </c>
      <c r="F27" s="211">
        <f t="shared" si="4"/>
        <v>79.453440000000001</v>
      </c>
      <c r="G27" s="226">
        <f t="shared" si="4"/>
        <v>3.3822888</v>
      </c>
      <c r="H27" s="211">
        <f t="shared" si="4"/>
        <v>3.3822888</v>
      </c>
      <c r="I27" s="226">
        <f t="shared" si="4"/>
        <v>3.3822888</v>
      </c>
      <c r="J27" s="226">
        <f t="shared" si="4"/>
        <v>1.5725159999999998</v>
      </c>
      <c r="K27" s="125">
        <f t="shared" si="4"/>
        <v>0.38623200000000002</v>
      </c>
      <c r="M27" s="171">
        <f>N23-I4</f>
        <v>-14402.900000095367</v>
      </c>
      <c r="N27" s="91" t="s">
        <v>34</v>
      </c>
      <c r="O27" s="97">
        <v>0</v>
      </c>
      <c r="S27" s="17"/>
      <c r="T27" s="17"/>
      <c r="U27" s="17"/>
      <c r="V27" s="17"/>
      <c r="W27" s="17"/>
      <c r="X27" s="17"/>
      <c r="Y27" s="17"/>
      <c r="AJ27" s="3"/>
      <c r="AK27" s="3"/>
      <c r="AL27" s="10"/>
      <c r="AM27" s="3"/>
    </row>
    <row r="28" spans="1:39" ht="16" thickBot="1" x14ac:dyDescent="0.25">
      <c r="A28" s="85"/>
      <c r="B28" s="17"/>
      <c r="C28" s="407"/>
      <c r="D28" s="48" t="s">
        <v>19</v>
      </c>
      <c r="E28" s="222">
        <f t="shared" ref="E28:K28" si="5">$C$4*E8*$C$17</f>
        <v>49.199039999999997</v>
      </c>
      <c r="F28" s="204">
        <f t="shared" si="5"/>
        <v>49.199039999999997</v>
      </c>
      <c r="G28" s="222">
        <f t="shared" si="5"/>
        <v>2.0943757999999999</v>
      </c>
      <c r="H28" s="204">
        <f t="shared" si="5"/>
        <v>2.0943757999999999</v>
      </c>
      <c r="I28" s="222">
        <f t="shared" si="5"/>
        <v>2.0943757999999999</v>
      </c>
      <c r="J28" s="222">
        <f t="shared" si="5"/>
        <v>0.9737309999999999</v>
      </c>
      <c r="K28" s="203">
        <f t="shared" si="5"/>
        <v>0.23916200000000001</v>
      </c>
      <c r="L28" s="178"/>
      <c r="T28" s="17"/>
      <c r="U28" s="17"/>
      <c r="V28" s="17"/>
      <c r="W28" s="17"/>
      <c r="X28" s="118"/>
      <c r="Y28" s="118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0"/>
      <c r="AM28" s="3"/>
    </row>
    <row r="29" spans="1:39" ht="20" thickBot="1" x14ac:dyDescent="0.3">
      <c r="A29" s="85"/>
      <c r="B29" s="17"/>
      <c r="C29" s="17"/>
      <c r="D29" s="48" t="s">
        <v>20</v>
      </c>
      <c r="E29" s="222">
        <f>$C$4*E8*$C$18</f>
        <v>43.718400000000003</v>
      </c>
      <c r="F29" s="204">
        <f t="shared" ref="F29:K29" si="6">$C$4*F8*$C$18</f>
        <v>43.718400000000003</v>
      </c>
      <c r="G29" s="222">
        <f t="shared" si="6"/>
        <v>1.8610679999999999</v>
      </c>
      <c r="H29" s="204">
        <f t="shared" si="6"/>
        <v>1.8610679999999999</v>
      </c>
      <c r="I29" s="222">
        <f t="shared" si="6"/>
        <v>1.8610679999999999</v>
      </c>
      <c r="J29" s="222">
        <f t="shared" si="6"/>
        <v>0.86525999999999992</v>
      </c>
      <c r="K29" s="203">
        <f t="shared" si="6"/>
        <v>0.21252000000000001</v>
      </c>
      <c r="L29" s="178"/>
      <c r="M29" s="374" t="s">
        <v>45</v>
      </c>
      <c r="N29" s="375"/>
      <c r="O29" s="376"/>
      <c r="P29" s="217"/>
      <c r="T29" s="17"/>
      <c r="U29" s="17"/>
      <c r="V29" s="17"/>
      <c r="W29" s="17"/>
      <c r="X29" s="118"/>
      <c r="Y29" s="118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0"/>
      <c r="AM29" s="3"/>
    </row>
    <row r="30" spans="1:39" x14ac:dyDescent="0.2">
      <c r="A30" s="85"/>
      <c r="B30" s="17"/>
      <c r="C30" s="17"/>
      <c r="D30" s="48" t="s">
        <v>21</v>
      </c>
      <c r="E30" s="222">
        <f>$C$4*E8*$C$19</f>
        <v>68.111999999999995</v>
      </c>
      <c r="F30" s="204">
        <f t="shared" ref="F30:K30" si="7">$C$4*F8*$C$19</f>
        <v>68.111999999999995</v>
      </c>
      <c r="G30" s="222">
        <f t="shared" si="7"/>
        <v>2.8994899999999997</v>
      </c>
      <c r="H30" s="204">
        <f t="shared" si="7"/>
        <v>2.8994899999999997</v>
      </c>
      <c r="I30" s="222">
        <f t="shared" si="7"/>
        <v>2.8994899999999997</v>
      </c>
      <c r="J30" s="222">
        <f t="shared" si="7"/>
        <v>1.34805</v>
      </c>
      <c r="K30" s="203">
        <f t="shared" si="7"/>
        <v>0.33110000000000001</v>
      </c>
      <c r="L30" s="178"/>
      <c r="M30" s="392" t="s">
        <v>2</v>
      </c>
      <c r="N30" s="393"/>
      <c r="O30" s="394"/>
      <c r="P30" s="217"/>
      <c r="T30" s="17"/>
      <c r="U30" s="17"/>
      <c r="V30" s="17"/>
      <c r="W30" s="17"/>
      <c r="X30" s="118"/>
      <c r="Y30" s="118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0"/>
      <c r="AM30" s="3"/>
    </row>
    <row r="31" spans="1:39" x14ac:dyDescent="0.2">
      <c r="A31" s="85"/>
      <c r="B31" s="17"/>
      <c r="C31" s="17"/>
      <c r="D31" s="48" t="s">
        <v>22</v>
      </c>
      <c r="E31" s="222">
        <f>$C$4*E8*$C$20</f>
        <v>0.95040000000000002</v>
      </c>
      <c r="F31" s="204">
        <f t="shared" ref="F31:K31" si="8">$C$4*F8*$C$20</f>
        <v>0.95040000000000002</v>
      </c>
      <c r="G31" s="222">
        <f t="shared" si="8"/>
        <v>4.0458000000000001E-2</v>
      </c>
      <c r="H31" s="204">
        <f t="shared" si="8"/>
        <v>4.0458000000000001E-2</v>
      </c>
      <c r="I31" s="222">
        <f t="shared" si="8"/>
        <v>4.0458000000000001E-2</v>
      </c>
      <c r="J31" s="222">
        <f t="shared" si="8"/>
        <v>1.881E-2</v>
      </c>
      <c r="K31" s="203">
        <f t="shared" si="8"/>
        <v>4.62E-3</v>
      </c>
      <c r="L31" s="178"/>
      <c r="M31" s="92">
        <f>SUM(E38:K39)-D3</f>
        <v>0</v>
      </c>
      <c r="N31" s="123" t="s">
        <v>46</v>
      </c>
      <c r="O31" s="124">
        <v>0</v>
      </c>
      <c r="P31" s="217"/>
      <c r="T31" s="17"/>
      <c r="U31" s="17"/>
      <c r="V31" s="17"/>
      <c r="W31" s="17"/>
      <c r="X31" s="118"/>
      <c r="Y31" s="118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10"/>
      <c r="AM31" s="3"/>
    </row>
    <row r="32" spans="1:39" x14ac:dyDescent="0.2">
      <c r="A32" s="85"/>
      <c r="B32" s="17"/>
      <c r="C32" s="17"/>
      <c r="D32" s="48" t="s">
        <v>24</v>
      </c>
      <c r="E32" s="222">
        <f>$C$4*E8*$C$21</f>
        <v>21.859200000000001</v>
      </c>
      <c r="F32" s="204">
        <f t="shared" ref="F32:K32" si="9">$C$4*F8*$C$21</f>
        <v>21.859200000000001</v>
      </c>
      <c r="G32" s="222">
        <f t="shared" si="9"/>
        <v>0.93053399999999997</v>
      </c>
      <c r="H32" s="204">
        <f t="shared" si="9"/>
        <v>0.93053399999999997</v>
      </c>
      <c r="I32" s="222">
        <f t="shared" si="9"/>
        <v>0.93053399999999997</v>
      </c>
      <c r="J32" s="222">
        <f t="shared" si="9"/>
        <v>0.43262999999999996</v>
      </c>
      <c r="K32" s="203">
        <f t="shared" si="9"/>
        <v>0.10626000000000001</v>
      </c>
      <c r="L32" s="178"/>
      <c r="M32" s="395" t="s">
        <v>3</v>
      </c>
      <c r="N32" s="396"/>
      <c r="O32" s="397"/>
      <c r="P32" s="217"/>
      <c r="T32" s="17"/>
      <c r="U32" s="17"/>
      <c r="V32" s="17"/>
      <c r="W32" s="17"/>
      <c r="X32" s="118"/>
      <c r="Y32" s="118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0"/>
      <c r="AM32" s="3"/>
    </row>
    <row r="33" spans="1:40" ht="16" thickBot="1" x14ac:dyDescent="0.25">
      <c r="A33" s="85"/>
      <c r="B33" s="17"/>
      <c r="C33" s="17"/>
      <c r="D33" s="60" t="s">
        <v>25</v>
      </c>
      <c r="E33" s="223">
        <f>$C$4*E8*$C$22</f>
        <v>21.732479999999999</v>
      </c>
      <c r="F33" s="200">
        <f t="shared" ref="F33:K33" si="10">$C$4*F8*$C$22</f>
        <v>21.732479999999999</v>
      </c>
      <c r="G33" s="223">
        <f t="shared" si="10"/>
        <v>0.92513959999999995</v>
      </c>
      <c r="H33" s="200">
        <f t="shared" si="10"/>
        <v>0.92513959999999995</v>
      </c>
      <c r="I33" s="223">
        <f t="shared" si="10"/>
        <v>0.92513959999999995</v>
      </c>
      <c r="J33" s="223">
        <f t="shared" si="10"/>
        <v>0.43012199999999995</v>
      </c>
      <c r="K33" s="199">
        <f t="shared" si="10"/>
        <v>0.105644</v>
      </c>
      <c r="L33" s="178"/>
      <c r="M33" s="96">
        <f>SUM(E40:K46)-D4</f>
        <v>0</v>
      </c>
      <c r="N33" s="91" t="s">
        <v>46</v>
      </c>
      <c r="O33" s="97">
        <v>0</v>
      </c>
      <c r="P33" s="217"/>
      <c r="Q33" s="204"/>
      <c r="R33" s="204"/>
      <c r="S33" s="17"/>
      <c r="T33" s="17"/>
      <c r="U33" s="17"/>
      <c r="V33" s="17"/>
      <c r="W33" s="17"/>
      <c r="X33" s="118"/>
      <c r="Y33" s="118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10"/>
      <c r="AM33" s="3"/>
    </row>
    <row r="34" spans="1:40" ht="16" thickBot="1" x14ac:dyDescent="0.25">
      <c r="A34" s="85"/>
      <c r="B34" s="17"/>
      <c r="C34" s="17"/>
      <c r="D34" s="17"/>
      <c r="E34" s="17"/>
      <c r="F34" s="17"/>
      <c r="G34" s="17"/>
      <c r="H34" s="17"/>
      <c r="I34" s="17"/>
      <c r="J34" s="17"/>
      <c r="K34" s="17"/>
      <c r="Q34" s="17"/>
      <c r="R34" s="17"/>
      <c r="S34" s="17"/>
      <c r="T34" s="17"/>
      <c r="U34" s="17"/>
      <c r="V34" s="17"/>
      <c r="W34" s="17"/>
      <c r="X34" s="118"/>
      <c r="Y34" s="118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10"/>
      <c r="AM34" s="3"/>
    </row>
    <row r="35" spans="1:40" ht="20" thickBot="1" x14ac:dyDescent="0.3">
      <c r="A35" s="85"/>
      <c r="B35" s="17"/>
      <c r="C35" s="17"/>
      <c r="D35" s="93" t="s">
        <v>40</v>
      </c>
      <c r="E35" s="94"/>
      <c r="F35" s="94"/>
      <c r="G35" s="94"/>
      <c r="H35" s="94"/>
      <c r="I35" s="94"/>
      <c r="J35" s="94"/>
      <c r="K35" s="95"/>
      <c r="M35" s="17"/>
      <c r="P35" s="374" t="s">
        <v>52</v>
      </c>
      <c r="Q35" s="375"/>
      <c r="R35" s="375"/>
      <c r="S35" s="375"/>
      <c r="T35" s="375"/>
      <c r="U35" s="375"/>
      <c r="V35" s="375"/>
      <c r="W35" s="375"/>
      <c r="X35" s="376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0"/>
      <c r="AM35" s="3"/>
    </row>
    <row r="36" spans="1:40" ht="16" thickBot="1" x14ac:dyDescent="0.25">
      <c r="A36" s="21"/>
      <c r="B36" s="17"/>
      <c r="C36" s="17"/>
      <c r="D36" s="84"/>
      <c r="E36" s="367" t="s">
        <v>41</v>
      </c>
      <c r="F36" s="367"/>
      <c r="G36" s="367"/>
      <c r="H36" s="367"/>
      <c r="I36" s="367"/>
      <c r="J36" s="367"/>
      <c r="K36" s="366"/>
      <c r="M36" s="17"/>
      <c r="N36" s="17"/>
      <c r="P36" s="371" t="s">
        <v>50</v>
      </c>
      <c r="Q36" s="372"/>
      <c r="R36" s="372"/>
      <c r="S36" s="373"/>
      <c r="T36" s="210"/>
      <c r="U36" s="371" t="s">
        <v>51</v>
      </c>
      <c r="V36" s="372"/>
      <c r="W36" s="372"/>
      <c r="X36" s="373"/>
      <c r="Y36" s="140"/>
      <c r="Z36" s="140"/>
      <c r="AA36" s="140"/>
      <c r="AB36" s="141"/>
      <c r="AC36" s="140"/>
      <c r="AD36" s="140"/>
      <c r="AE36" s="140"/>
      <c r="AF36" s="140"/>
      <c r="AG36" s="141"/>
      <c r="AH36" s="140"/>
      <c r="AI36" s="140"/>
      <c r="AJ36" s="140"/>
      <c r="AK36" s="140"/>
      <c r="AM36" s="3"/>
    </row>
    <row r="37" spans="1:40" x14ac:dyDescent="0.2">
      <c r="A37" s="21"/>
      <c r="B37" s="17"/>
      <c r="C37" s="17"/>
      <c r="D37" s="255" t="s">
        <v>43</v>
      </c>
      <c r="E37" s="99" t="s">
        <v>5</v>
      </c>
      <c r="F37" s="100" t="s">
        <v>6</v>
      </c>
      <c r="G37" s="100" t="s">
        <v>7</v>
      </c>
      <c r="H37" s="100" t="s">
        <v>8</v>
      </c>
      <c r="I37" s="100" t="s">
        <v>9</v>
      </c>
      <c r="J37" s="100" t="s">
        <v>10</v>
      </c>
      <c r="K37" s="101" t="s">
        <v>11</v>
      </c>
      <c r="L37" s="158" t="s">
        <v>62</v>
      </c>
      <c r="M37" s="102" t="s">
        <v>36</v>
      </c>
      <c r="N37" s="219" t="s">
        <v>307</v>
      </c>
      <c r="P37" s="202"/>
      <c r="Q37" s="204" t="s">
        <v>54</v>
      </c>
      <c r="R37" s="204"/>
      <c r="S37" s="58" t="s">
        <v>55</v>
      </c>
      <c r="T37" s="204"/>
      <c r="U37" s="202"/>
      <c r="V37" s="204" t="s">
        <v>54</v>
      </c>
      <c r="W37" s="204"/>
      <c r="X37" s="203" t="s">
        <v>55</v>
      </c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M37" s="3"/>
    </row>
    <row r="38" spans="1:40" x14ac:dyDescent="0.2">
      <c r="A38" s="21"/>
      <c r="B38" s="17"/>
      <c r="C38" s="224"/>
      <c r="D38" s="104" t="s">
        <v>16</v>
      </c>
      <c r="E38" s="105">
        <v>53000</v>
      </c>
      <c r="F38" s="105">
        <v>0</v>
      </c>
      <c r="G38" s="105">
        <v>0</v>
      </c>
      <c r="H38" s="105">
        <v>0</v>
      </c>
      <c r="I38" s="105">
        <v>79500</v>
      </c>
      <c r="J38" s="105">
        <v>79500</v>
      </c>
      <c r="K38" s="41">
        <v>318000</v>
      </c>
      <c r="L38" s="159">
        <v>1</v>
      </c>
      <c r="M38" s="106">
        <f t="shared" ref="M38:M46" si="11">SUM(E38:K38)</f>
        <v>530000</v>
      </c>
      <c r="N38" s="222">
        <f>SUMPRODUCT(E25:K25,E38:K38)</f>
        <v>3545820.8082000003</v>
      </c>
      <c r="P38" s="167" t="s">
        <v>16</v>
      </c>
      <c r="Q38" s="126">
        <f t="shared" ref="Q38:Q46" si="12">(L38*200000)-SUM(E38:K38)</f>
        <v>-330000</v>
      </c>
      <c r="R38" s="204" t="s">
        <v>49</v>
      </c>
      <c r="S38" s="125">
        <v>0</v>
      </c>
      <c r="T38" s="211"/>
      <c r="U38" s="167" t="s">
        <v>16</v>
      </c>
      <c r="V38" s="126">
        <f t="shared" ref="V38:V46" si="13">(L38*600000)-SUM(E38:K38)</f>
        <v>70000</v>
      </c>
      <c r="W38" s="204" t="s">
        <v>48</v>
      </c>
      <c r="X38" s="203">
        <v>0</v>
      </c>
      <c r="Y38" s="141"/>
      <c r="Z38" s="142"/>
      <c r="AA38" s="141"/>
      <c r="AB38" s="141"/>
      <c r="AC38" s="103"/>
      <c r="AD38" s="143"/>
      <c r="AE38" s="142"/>
      <c r="AF38" s="141"/>
      <c r="AG38" s="141"/>
      <c r="AH38" s="103"/>
      <c r="AI38" s="141"/>
      <c r="AJ38" s="142"/>
      <c r="AK38" s="141"/>
      <c r="AM38" s="3"/>
    </row>
    <row r="39" spans="1:40" x14ac:dyDescent="0.2">
      <c r="A39" s="17"/>
      <c r="B39" s="17"/>
      <c r="C39" s="17"/>
      <c r="D39" s="107" t="s">
        <v>17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9">
        <v>0</v>
      </c>
      <c r="L39" s="159">
        <v>0</v>
      </c>
      <c r="M39" s="106">
        <f t="shared" si="11"/>
        <v>0</v>
      </c>
      <c r="N39" s="222">
        <f t="shared" ref="N39:N46" si="14">SUMPRODUCT(E26:K26,E39:K39)</f>
        <v>0</v>
      </c>
      <c r="P39" s="168" t="s">
        <v>17</v>
      </c>
      <c r="Q39" s="126">
        <f t="shared" si="12"/>
        <v>0</v>
      </c>
      <c r="R39" s="204" t="s">
        <v>49</v>
      </c>
      <c r="S39" s="125">
        <v>0</v>
      </c>
      <c r="T39" s="211"/>
      <c r="U39" s="168" t="s">
        <v>17</v>
      </c>
      <c r="V39" s="126">
        <f t="shared" si="13"/>
        <v>0</v>
      </c>
      <c r="W39" s="204" t="s">
        <v>48</v>
      </c>
      <c r="X39" s="203">
        <v>0</v>
      </c>
      <c r="Y39" s="141"/>
      <c r="Z39" s="142"/>
      <c r="AA39" s="144"/>
      <c r="AB39" s="144"/>
      <c r="AC39" s="103"/>
      <c r="AD39" s="143"/>
      <c r="AE39" s="142"/>
      <c r="AF39" s="144"/>
      <c r="AG39" s="141"/>
      <c r="AH39" s="103"/>
      <c r="AI39" s="141"/>
      <c r="AJ39" s="142"/>
      <c r="AK39" s="144"/>
      <c r="AM39" s="3"/>
    </row>
    <row r="40" spans="1:40" x14ac:dyDescent="0.2">
      <c r="A40" s="17"/>
      <c r="B40" s="17"/>
      <c r="C40" s="17"/>
      <c r="D40" s="110" t="s">
        <v>18</v>
      </c>
      <c r="E40" s="111">
        <v>46000</v>
      </c>
      <c r="F40" s="111">
        <v>0</v>
      </c>
      <c r="G40" s="111">
        <v>0</v>
      </c>
      <c r="H40" s="111">
        <v>0</v>
      </c>
      <c r="I40" s="111">
        <v>92000</v>
      </c>
      <c r="J40" s="111">
        <v>138000</v>
      </c>
      <c r="K40" s="53">
        <v>44000</v>
      </c>
      <c r="L40" s="159">
        <v>1</v>
      </c>
      <c r="M40" s="106">
        <f t="shared" si="11"/>
        <v>320000</v>
      </c>
      <c r="N40" s="222">
        <f t="shared" si="14"/>
        <v>4200030.2256000005</v>
      </c>
      <c r="P40" s="169" t="s">
        <v>18</v>
      </c>
      <c r="Q40" s="126">
        <f t="shared" si="12"/>
        <v>-120000</v>
      </c>
      <c r="R40" s="204" t="s">
        <v>49</v>
      </c>
      <c r="S40" s="203">
        <v>0</v>
      </c>
      <c r="T40" s="204"/>
      <c r="U40" s="169" t="s">
        <v>18</v>
      </c>
      <c r="V40" s="126">
        <f t="shared" si="13"/>
        <v>280000</v>
      </c>
      <c r="W40" s="204" t="s">
        <v>48</v>
      </c>
      <c r="X40" s="203">
        <v>0</v>
      </c>
      <c r="Y40" s="141"/>
      <c r="Z40" s="142"/>
      <c r="AA40" s="144"/>
      <c r="AB40" s="144"/>
      <c r="AC40" s="103"/>
      <c r="AD40" s="143"/>
      <c r="AE40" s="142"/>
      <c r="AF40" s="144"/>
      <c r="AG40" s="141"/>
      <c r="AH40" s="103"/>
      <c r="AI40" s="144"/>
      <c r="AJ40" s="142"/>
      <c r="AK40" s="144"/>
      <c r="AM40" s="12"/>
      <c r="AN40" s="9"/>
    </row>
    <row r="41" spans="1:40" x14ac:dyDescent="0.2">
      <c r="A41" s="17"/>
      <c r="B41" s="17"/>
      <c r="C41" s="17"/>
      <c r="D41" s="110" t="s">
        <v>19</v>
      </c>
      <c r="E41" s="111">
        <v>0</v>
      </c>
      <c r="F41" s="111">
        <v>0</v>
      </c>
      <c r="G41" s="111">
        <v>0</v>
      </c>
      <c r="H41" s="111">
        <v>0</v>
      </c>
      <c r="I41" s="111">
        <v>0</v>
      </c>
      <c r="J41" s="112">
        <v>0</v>
      </c>
      <c r="K41" s="53">
        <v>0</v>
      </c>
      <c r="L41" s="159">
        <v>0</v>
      </c>
      <c r="M41" s="106">
        <f t="shared" si="11"/>
        <v>0</v>
      </c>
      <c r="N41" s="222">
        <f t="shared" si="14"/>
        <v>0</v>
      </c>
      <c r="P41" s="169" t="s">
        <v>19</v>
      </c>
      <c r="Q41" s="126">
        <f t="shared" si="12"/>
        <v>0</v>
      </c>
      <c r="R41" s="204" t="s">
        <v>49</v>
      </c>
      <c r="S41" s="203">
        <v>0</v>
      </c>
      <c r="T41" s="204"/>
      <c r="U41" s="169" t="s">
        <v>19</v>
      </c>
      <c r="V41" s="126">
        <f t="shared" si="13"/>
        <v>0</v>
      </c>
      <c r="W41" s="204" t="s">
        <v>48</v>
      </c>
      <c r="X41" s="203">
        <v>0</v>
      </c>
      <c r="Y41" s="141"/>
      <c r="Z41" s="142"/>
      <c r="AA41" s="141"/>
      <c r="AB41" s="141"/>
      <c r="AC41" s="103"/>
      <c r="AD41" s="143"/>
      <c r="AE41" s="142"/>
      <c r="AF41" s="141"/>
      <c r="AG41" s="141"/>
      <c r="AH41" s="103"/>
      <c r="AI41" s="144"/>
      <c r="AJ41" s="142"/>
      <c r="AK41" s="141"/>
      <c r="AM41" s="9"/>
      <c r="AN41" s="9"/>
    </row>
    <row r="42" spans="1:40" x14ac:dyDescent="0.2">
      <c r="A42" s="17"/>
      <c r="B42" s="17"/>
      <c r="C42" s="17"/>
      <c r="D42" s="110" t="s">
        <v>20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2">
        <v>0</v>
      </c>
      <c r="K42" s="53">
        <v>0</v>
      </c>
      <c r="L42" s="159">
        <v>0</v>
      </c>
      <c r="M42" s="106">
        <f t="shared" si="11"/>
        <v>0</v>
      </c>
      <c r="N42" s="222">
        <f t="shared" si="14"/>
        <v>0</v>
      </c>
      <c r="P42" s="169" t="s">
        <v>20</v>
      </c>
      <c r="Q42" s="126">
        <f t="shared" si="12"/>
        <v>0</v>
      </c>
      <c r="R42" s="204" t="s">
        <v>49</v>
      </c>
      <c r="S42" s="203">
        <v>0</v>
      </c>
      <c r="T42" s="204"/>
      <c r="U42" s="169" t="s">
        <v>20</v>
      </c>
      <c r="V42" s="126">
        <f t="shared" si="13"/>
        <v>0</v>
      </c>
      <c r="W42" s="204" t="s">
        <v>48</v>
      </c>
      <c r="X42" s="203">
        <v>0</v>
      </c>
      <c r="Y42" s="141"/>
      <c r="Z42" s="142"/>
      <c r="AA42" s="141"/>
      <c r="AB42" s="141"/>
      <c r="AC42" s="103"/>
      <c r="AD42" s="143"/>
      <c r="AE42" s="142"/>
      <c r="AF42" s="141"/>
      <c r="AG42" s="141"/>
      <c r="AH42" s="103"/>
      <c r="AI42" s="144"/>
      <c r="AJ42" s="142"/>
      <c r="AK42" s="141"/>
    </row>
    <row r="43" spans="1:40" x14ac:dyDescent="0.2">
      <c r="A43" s="17"/>
      <c r="B43" s="17"/>
      <c r="C43" s="17"/>
      <c r="D43" s="110" t="s">
        <v>21</v>
      </c>
      <c r="E43" s="111">
        <v>0</v>
      </c>
      <c r="F43" s="111">
        <v>0</v>
      </c>
      <c r="G43" s="111">
        <v>0</v>
      </c>
      <c r="H43" s="111">
        <v>0</v>
      </c>
      <c r="I43" s="111">
        <v>0</v>
      </c>
      <c r="J43" s="111">
        <v>0</v>
      </c>
      <c r="K43" s="53">
        <v>600000</v>
      </c>
      <c r="L43" s="159">
        <v>1</v>
      </c>
      <c r="M43" s="106">
        <f t="shared" si="11"/>
        <v>600000</v>
      </c>
      <c r="N43" s="222">
        <f t="shared" si="14"/>
        <v>198660</v>
      </c>
      <c r="P43" s="169" t="s">
        <v>21</v>
      </c>
      <c r="Q43" s="126">
        <f t="shared" si="12"/>
        <v>-400000</v>
      </c>
      <c r="R43" s="204" t="s">
        <v>49</v>
      </c>
      <c r="S43" s="203">
        <v>0</v>
      </c>
      <c r="T43" s="204"/>
      <c r="U43" s="169" t="s">
        <v>21</v>
      </c>
      <c r="V43" s="126">
        <f t="shared" si="13"/>
        <v>0</v>
      </c>
      <c r="W43" s="204" t="s">
        <v>48</v>
      </c>
      <c r="X43" s="203">
        <v>0</v>
      </c>
      <c r="Y43" s="141"/>
      <c r="Z43" s="142"/>
      <c r="AA43" s="141"/>
      <c r="AB43" s="141"/>
      <c r="AC43" s="103"/>
      <c r="AD43" s="143"/>
      <c r="AE43" s="142"/>
      <c r="AF43" s="141"/>
      <c r="AG43" s="141"/>
      <c r="AH43" s="103"/>
      <c r="AI43" s="144"/>
      <c r="AJ43" s="142"/>
      <c r="AK43" s="141"/>
    </row>
    <row r="44" spans="1:40" x14ac:dyDescent="0.2">
      <c r="A44" s="17"/>
      <c r="B44" s="17"/>
      <c r="C44" s="17"/>
      <c r="D44" s="110" t="s">
        <v>22</v>
      </c>
      <c r="E44" s="103">
        <v>0</v>
      </c>
      <c r="F44" s="103">
        <v>0</v>
      </c>
      <c r="G44" s="111">
        <v>0</v>
      </c>
      <c r="H44" s="111">
        <v>0</v>
      </c>
      <c r="I44" s="111">
        <v>0</v>
      </c>
      <c r="J44" s="103">
        <v>0</v>
      </c>
      <c r="K44" s="58">
        <v>0</v>
      </c>
      <c r="L44" s="159">
        <v>0</v>
      </c>
      <c r="M44" s="106">
        <f t="shared" si="11"/>
        <v>0</v>
      </c>
      <c r="N44" s="222">
        <f t="shared" si="14"/>
        <v>0</v>
      </c>
      <c r="P44" s="169" t="s">
        <v>22</v>
      </c>
      <c r="Q44" s="126">
        <f t="shared" si="12"/>
        <v>0</v>
      </c>
      <c r="R44" s="204" t="s">
        <v>49</v>
      </c>
      <c r="S44" s="203">
        <v>0</v>
      </c>
      <c r="T44" s="204"/>
      <c r="U44" s="169" t="s">
        <v>22</v>
      </c>
      <c r="V44" s="126">
        <f t="shared" si="13"/>
        <v>0</v>
      </c>
      <c r="W44" s="204" t="s">
        <v>48</v>
      </c>
      <c r="X44" s="203">
        <v>0</v>
      </c>
      <c r="Y44" s="141"/>
      <c r="Z44" s="142"/>
      <c r="AA44" s="141"/>
      <c r="AB44" s="141"/>
      <c r="AC44" s="103"/>
      <c r="AD44" s="143"/>
      <c r="AE44" s="142"/>
      <c r="AF44" s="141"/>
      <c r="AG44" s="141"/>
      <c r="AH44" s="103"/>
      <c r="AI44" s="144"/>
      <c r="AJ44" s="142"/>
      <c r="AK44" s="141"/>
    </row>
    <row r="45" spans="1:40" x14ac:dyDescent="0.2">
      <c r="A45" s="17"/>
      <c r="B45" s="17"/>
      <c r="C45" s="17"/>
      <c r="D45" s="110" t="s">
        <v>24</v>
      </c>
      <c r="E45" s="111">
        <v>0</v>
      </c>
      <c r="F45" s="111">
        <v>0</v>
      </c>
      <c r="G45" s="103">
        <v>0</v>
      </c>
      <c r="H45" s="103">
        <v>0</v>
      </c>
      <c r="I45" s="103">
        <v>0</v>
      </c>
      <c r="J45" s="103">
        <v>0</v>
      </c>
      <c r="K45" s="53">
        <v>0</v>
      </c>
      <c r="L45" s="159">
        <v>0</v>
      </c>
      <c r="M45" s="106">
        <f t="shared" si="11"/>
        <v>0</v>
      </c>
      <c r="N45" s="222">
        <f t="shared" si="14"/>
        <v>0</v>
      </c>
      <c r="P45" s="169" t="s">
        <v>24</v>
      </c>
      <c r="Q45" s="126">
        <f t="shared" si="12"/>
        <v>0</v>
      </c>
      <c r="R45" s="204" t="s">
        <v>49</v>
      </c>
      <c r="S45" s="203">
        <v>0</v>
      </c>
      <c r="T45" s="204"/>
      <c r="U45" s="169" t="s">
        <v>24</v>
      </c>
      <c r="V45" s="126">
        <f t="shared" si="13"/>
        <v>0</v>
      </c>
      <c r="W45" s="204" t="s">
        <v>48</v>
      </c>
      <c r="X45" s="203">
        <v>0</v>
      </c>
      <c r="Y45" s="141"/>
      <c r="Z45" s="142"/>
      <c r="AA45" s="141"/>
      <c r="AB45" s="141"/>
      <c r="AC45" s="103"/>
      <c r="AD45" s="143"/>
      <c r="AE45" s="142"/>
      <c r="AF45" s="141"/>
      <c r="AG45" s="141"/>
      <c r="AH45" s="103"/>
      <c r="AI45" s="144"/>
      <c r="AJ45" s="142"/>
      <c r="AK45" s="141"/>
    </row>
    <row r="46" spans="1:40" ht="16" thickBot="1" x14ac:dyDescent="0.25">
      <c r="A46" s="17"/>
      <c r="B46" s="17"/>
      <c r="C46" s="17"/>
      <c r="D46" s="113" t="s">
        <v>25</v>
      </c>
      <c r="E46" s="114">
        <v>0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  <c r="K46" s="66">
        <v>0</v>
      </c>
      <c r="L46" s="160">
        <v>0</v>
      </c>
      <c r="M46" s="106">
        <f t="shared" si="11"/>
        <v>0</v>
      </c>
      <c r="N46" s="223">
        <f t="shared" si="14"/>
        <v>0</v>
      </c>
      <c r="P46" s="170" t="s">
        <v>25</v>
      </c>
      <c r="Q46" s="212">
        <f t="shared" si="12"/>
        <v>0</v>
      </c>
      <c r="R46" s="200" t="s">
        <v>49</v>
      </c>
      <c r="S46" s="199">
        <v>0</v>
      </c>
      <c r="T46" s="200"/>
      <c r="U46" s="170" t="s">
        <v>25</v>
      </c>
      <c r="V46" s="212">
        <f t="shared" si="13"/>
        <v>0</v>
      </c>
      <c r="W46" s="200" t="s">
        <v>48</v>
      </c>
      <c r="X46" s="199">
        <v>0</v>
      </c>
      <c r="Y46" s="141"/>
      <c r="Z46" s="142"/>
      <c r="AA46" s="141"/>
      <c r="AB46" s="141"/>
      <c r="AC46" s="103"/>
      <c r="AD46" s="143"/>
      <c r="AE46" s="142"/>
      <c r="AF46" s="141"/>
      <c r="AG46" s="141"/>
      <c r="AH46" s="103"/>
      <c r="AI46" s="144"/>
      <c r="AJ46" s="142"/>
      <c r="AK46" s="141"/>
    </row>
    <row r="47" spans="1:40" ht="16" thickBot="1" x14ac:dyDescent="0.25">
      <c r="A47" s="17"/>
      <c r="B47" s="17"/>
      <c r="C47" s="17"/>
      <c r="D47" s="115" t="s">
        <v>37</v>
      </c>
      <c r="E47" s="116">
        <f t="shared" ref="E47:K47" si="15">SUM(E38:E46)</f>
        <v>99000</v>
      </c>
      <c r="F47" s="116">
        <f t="shared" si="15"/>
        <v>0</v>
      </c>
      <c r="G47" s="116">
        <f t="shared" si="15"/>
        <v>0</v>
      </c>
      <c r="H47" s="116">
        <f t="shared" si="15"/>
        <v>0</v>
      </c>
      <c r="I47" s="116">
        <f t="shared" si="15"/>
        <v>171500</v>
      </c>
      <c r="J47" s="116">
        <f t="shared" si="15"/>
        <v>217500</v>
      </c>
      <c r="K47" s="117">
        <f t="shared" si="15"/>
        <v>962000</v>
      </c>
      <c r="L47" s="118"/>
      <c r="M47" s="221">
        <f>SUM(M38:M46)</f>
        <v>1450000</v>
      </c>
      <c r="N47" s="220">
        <f>SUM(N38:N46)</f>
        <v>7944511.0338000003</v>
      </c>
      <c r="O47" s="121"/>
      <c r="P47" s="121"/>
      <c r="Q47" s="121"/>
      <c r="R47" s="121"/>
      <c r="S47" s="121"/>
      <c r="T47" s="121"/>
      <c r="U47" s="121"/>
      <c r="V47" s="121"/>
      <c r="W47" s="121"/>
      <c r="X47" s="127"/>
      <c r="Y47" s="127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</row>
    <row r="48" spans="1:40" ht="16" thickBo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X48" s="17"/>
      <c r="Y48" s="17"/>
    </row>
    <row r="49" spans="1:52" ht="20" thickBot="1" x14ac:dyDescent="0.3">
      <c r="A49" s="17"/>
      <c r="B49" s="17"/>
      <c r="C49" s="17"/>
      <c r="D49" s="118"/>
      <c r="E49" s="374" t="s">
        <v>60</v>
      </c>
      <c r="F49" s="375"/>
      <c r="G49" s="375"/>
      <c r="H49" s="375"/>
      <c r="I49" s="375"/>
      <c r="J49" s="376"/>
      <c r="K49" s="17"/>
      <c r="L49" s="17"/>
      <c r="M49" s="17"/>
      <c r="N49" s="17"/>
      <c r="X49" s="17"/>
      <c r="Y49" s="17"/>
    </row>
    <row r="50" spans="1:52" ht="16" thickBot="1" x14ac:dyDescent="0.25">
      <c r="A50" s="17"/>
      <c r="B50" s="17"/>
      <c r="C50" s="17"/>
      <c r="D50" s="118"/>
      <c r="E50" s="353" t="s">
        <v>59</v>
      </c>
      <c r="F50" s="354"/>
      <c r="G50" s="353" t="s">
        <v>61</v>
      </c>
      <c r="H50" s="355"/>
      <c r="I50" s="354"/>
      <c r="J50" s="122" t="s">
        <v>10</v>
      </c>
      <c r="K50" s="119"/>
      <c r="L50" s="17"/>
      <c r="M50" s="17"/>
      <c r="N50" s="17"/>
      <c r="X50" s="17"/>
      <c r="Y50" s="17"/>
    </row>
    <row r="51" spans="1:52" x14ac:dyDescent="0.2">
      <c r="A51" s="17"/>
      <c r="B51" s="17"/>
      <c r="C51" s="17"/>
      <c r="D51" s="118"/>
      <c r="E51" s="362">
        <f>SUM(E38:F39)-E9</f>
        <v>0</v>
      </c>
      <c r="F51" s="363"/>
      <c r="G51" s="362">
        <f>SUM(G38:I39)-G9</f>
        <v>0</v>
      </c>
      <c r="H51" s="364"/>
      <c r="I51" s="363"/>
      <c r="J51" s="120">
        <f>SUM(J38:J39)-J9</f>
        <v>0</v>
      </c>
      <c r="K51" s="88"/>
      <c r="L51" s="17"/>
      <c r="M51" s="17"/>
      <c r="N51" s="17"/>
      <c r="X51" s="17"/>
      <c r="Y51" s="17"/>
    </row>
    <row r="52" spans="1:52" x14ac:dyDescent="0.2">
      <c r="A52" s="17"/>
      <c r="B52" s="17"/>
      <c r="C52" s="17"/>
      <c r="D52" s="118"/>
      <c r="E52" s="365" t="s">
        <v>48</v>
      </c>
      <c r="F52" s="366"/>
      <c r="G52" s="365" t="s">
        <v>48</v>
      </c>
      <c r="H52" s="367"/>
      <c r="I52" s="366"/>
      <c r="J52" s="124" t="s">
        <v>48</v>
      </c>
      <c r="K52" s="121"/>
      <c r="L52" s="17"/>
      <c r="M52" s="17"/>
      <c r="N52" s="17"/>
    </row>
    <row r="53" spans="1:52" ht="16" thickBot="1" x14ac:dyDescent="0.25">
      <c r="A53" s="17"/>
      <c r="B53" s="17"/>
      <c r="C53" s="17"/>
      <c r="D53" s="118"/>
      <c r="E53" s="356">
        <v>0</v>
      </c>
      <c r="F53" s="357"/>
      <c r="G53" s="356">
        <v>0</v>
      </c>
      <c r="H53" s="358"/>
      <c r="I53" s="357"/>
      <c r="J53" s="97">
        <v>0</v>
      </c>
      <c r="K53" s="121"/>
      <c r="L53" s="17"/>
      <c r="M53" s="17"/>
      <c r="N53" s="17"/>
    </row>
    <row r="54" spans="1:52" ht="15" customHeight="1" thickBot="1" x14ac:dyDescent="0.25">
      <c r="A54" s="17"/>
      <c r="B54" s="17"/>
      <c r="C54" s="17"/>
      <c r="D54" s="118"/>
      <c r="E54" s="359" t="s">
        <v>59</v>
      </c>
      <c r="F54" s="360"/>
      <c r="G54" s="359" t="s">
        <v>61</v>
      </c>
      <c r="H54" s="361"/>
      <c r="I54" s="360"/>
      <c r="J54" s="139" t="s">
        <v>10</v>
      </c>
      <c r="K54" s="17"/>
      <c r="L54" s="17"/>
      <c r="M54" s="17"/>
      <c r="N54" s="17"/>
    </row>
    <row r="55" spans="1:52" x14ac:dyDescent="0.2">
      <c r="A55" s="17"/>
      <c r="B55" s="17"/>
      <c r="C55" s="17"/>
      <c r="D55" s="118"/>
      <c r="E55" s="362">
        <f>SUM(E40:F46)-E10</f>
        <v>0</v>
      </c>
      <c r="F55" s="363"/>
      <c r="G55" s="362">
        <f>SUM(G40:I46)-G10</f>
        <v>0</v>
      </c>
      <c r="H55" s="364"/>
      <c r="I55" s="363"/>
      <c r="J55" s="120">
        <f>SUM(J40:J46)-J10</f>
        <v>0</v>
      </c>
      <c r="K55" s="119"/>
      <c r="L55" s="17"/>
      <c r="M55" s="17"/>
      <c r="N55" s="17"/>
    </row>
    <row r="56" spans="1:52" x14ac:dyDescent="0.2">
      <c r="A56" s="17"/>
      <c r="B56" s="17"/>
      <c r="C56" s="17"/>
      <c r="D56" s="118"/>
      <c r="E56" s="365" t="s">
        <v>48</v>
      </c>
      <c r="F56" s="366"/>
      <c r="G56" s="365" t="s">
        <v>48</v>
      </c>
      <c r="H56" s="367"/>
      <c r="I56" s="366"/>
      <c r="J56" s="124" t="s">
        <v>48</v>
      </c>
      <c r="K56" s="121"/>
      <c r="L56" s="17"/>
      <c r="M56" s="17"/>
      <c r="N56" s="17"/>
      <c r="AZ56" s="11"/>
    </row>
    <row r="57" spans="1:52" ht="16" thickBot="1" x14ac:dyDescent="0.25">
      <c r="A57" s="17"/>
      <c r="B57" s="17"/>
      <c r="C57" s="17"/>
      <c r="D57" s="118"/>
      <c r="E57" s="356">
        <v>0</v>
      </c>
      <c r="F57" s="357"/>
      <c r="G57" s="356">
        <v>0</v>
      </c>
      <c r="H57" s="358"/>
      <c r="I57" s="357"/>
      <c r="J57" s="97">
        <v>0</v>
      </c>
      <c r="K57" s="121"/>
      <c r="L57" s="17"/>
      <c r="M57" s="17"/>
      <c r="N57" s="17"/>
      <c r="AZ57" s="11"/>
    </row>
    <row r="58" spans="1:52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AZ58" s="11"/>
    </row>
    <row r="59" spans="1:52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AZ59" s="11"/>
    </row>
    <row r="60" spans="1:52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AZ60" s="8"/>
    </row>
    <row r="61" spans="1:52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AZ61" s="8"/>
    </row>
    <row r="62" spans="1:52" x14ac:dyDescent="0.2">
      <c r="AZ62" s="8"/>
    </row>
    <row r="63" spans="1:52" x14ac:dyDescent="0.2">
      <c r="AY63" s="10"/>
    </row>
    <row r="86" spans="2:10" x14ac:dyDescent="0.2">
      <c r="D86" s="3"/>
    </row>
    <row r="87" spans="2:10" x14ac:dyDescent="0.2">
      <c r="D87" s="5"/>
    </row>
    <row r="88" spans="2:10" x14ac:dyDescent="0.2">
      <c r="D88" s="6"/>
    </row>
    <row r="89" spans="2:10" x14ac:dyDescent="0.2">
      <c r="D89" s="6"/>
    </row>
    <row r="90" spans="2:10" x14ac:dyDescent="0.2">
      <c r="D90" s="6"/>
    </row>
    <row r="95" spans="2:10" x14ac:dyDescent="0.2">
      <c r="B95" s="4"/>
      <c r="C95" s="4"/>
      <c r="D95" s="4"/>
      <c r="E95" s="4"/>
      <c r="F95" s="4"/>
      <c r="G95" s="4"/>
      <c r="H95" s="4"/>
      <c r="I95" s="4"/>
      <c r="J95" s="4"/>
    </row>
    <row r="96" spans="2:10" x14ac:dyDescent="0.2">
      <c r="B96" s="4"/>
      <c r="C96" s="4"/>
      <c r="D96" s="4"/>
      <c r="E96" s="4"/>
      <c r="F96" s="4"/>
      <c r="G96" s="4"/>
      <c r="H96" s="4"/>
      <c r="I96" s="4"/>
      <c r="J96" s="4"/>
    </row>
    <row r="97" spans="2:10" x14ac:dyDescent="0.2">
      <c r="B97" s="4"/>
      <c r="C97" s="4"/>
      <c r="D97" s="4"/>
      <c r="E97" s="4"/>
      <c r="F97" s="4"/>
      <c r="G97" s="4"/>
      <c r="H97" s="4"/>
      <c r="I97" s="4"/>
      <c r="J97" s="4"/>
    </row>
    <row r="98" spans="2:10" x14ac:dyDescent="0.2">
      <c r="B98" s="4"/>
      <c r="C98" s="4"/>
      <c r="D98" s="4"/>
      <c r="E98" s="4"/>
      <c r="F98" s="4"/>
      <c r="G98" s="4"/>
      <c r="H98" s="4"/>
      <c r="I98" s="4"/>
      <c r="J98" s="4"/>
    </row>
    <row r="99" spans="2:10" x14ac:dyDescent="0.2">
      <c r="B99" s="4"/>
      <c r="C99" s="5"/>
      <c r="D99" s="5"/>
      <c r="E99" s="5"/>
      <c r="F99" s="5"/>
      <c r="G99" s="5"/>
      <c r="H99" s="5"/>
      <c r="I99" s="5"/>
      <c r="J99" s="5"/>
    </row>
    <row r="100" spans="2:10" x14ac:dyDescent="0.2">
      <c r="B100" s="4"/>
      <c r="C100" s="2"/>
      <c r="D100" s="6"/>
      <c r="E100" s="6"/>
      <c r="F100" s="7"/>
      <c r="G100" s="6"/>
      <c r="H100" s="4"/>
      <c r="I100" s="4"/>
      <c r="J100" s="4"/>
    </row>
    <row r="101" spans="2:10" x14ac:dyDescent="0.2">
      <c r="B101" s="4"/>
      <c r="C101" s="2"/>
      <c r="D101" s="4"/>
      <c r="E101" s="4"/>
      <c r="F101" s="7"/>
      <c r="G101" s="6"/>
      <c r="H101" s="4"/>
      <c r="I101" s="4"/>
      <c r="J101" s="4"/>
    </row>
    <row r="102" spans="2:10" x14ac:dyDescent="0.2">
      <c r="B102" s="4"/>
      <c r="C102" s="4"/>
      <c r="D102" s="4"/>
      <c r="E102" s="4"/>
      <c r="F102" s="4"/>
      <c r="G102" s="4"/>
      <c r="H102" s="6"/>
      <c r="I102" s="4"/>
      <c r="J102" s="4"/>
    </row>
    <row r="103" spans="2:10" x14ac:dyDescent="0.2">
      <c r="B103" s="4"/>
      <c r="C103" s="2"/>
      <c r="D103" s="6"/>
      <c r="E103" s="6"/>
      <c r="F103" s="7"/>
      <c r="G103" s="6"/>
      <c r="H103" s="4"/>
      <c r="I103" s="4"/>
      <c r="J103" s="4"/>
    </row>
    <row r="104" spans="2:10" x14ac:dyDescent="0.2">
      <c r="B104" s="4"/>
      <c r="C104" s="2"/>
      <c r="D104" s="4"/>
      <c r="E104" s="4"/>
      <c r="F104" s="7"/>
      <c r="G104" s="6"/>
      <c r="H104" s="4"/>
      <c r="I104" s="4"/>
      <c r="J104" s="4"/>
    </row>
    <row r="105" spans="2:10" x14ac:dyDescent="0.2"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37">
    <mergeCell ref="M6:O6"/>
    <mergeCell ref="P35:X35"/>
    <mergeCell ref="E6:K6"/>
    <mergeCell ref="C8:D8"/>
    <mergeCell ref="C9:D9"/>
    <mergeCell ref="C10:D10"/>
    <mergeCell ref="E12:K12"/>
    <mergeCell ref="M12:O12"/>
    <mergeCell ref="M26:O26"/>
    <mergeCell ref="M29:O29"/>
    <mergeCell ref="M30:O30"/>
    <mergeCell ref="M32:O32"/>
    <mergeCell ref="E9:F9"/>
    <mergeCell ref="E10:F10"/>
    <mergeCell ref="G9:I9"/>
    <mergeCell ref="C24:C28"/>
    <mergeCell ref="G10:I10"/>
    <mergeCell ref="E36:K36"/>
    <mergeCell ref="P36:S36"/>
    <mergeCell ref="U36:X36"/>
    <mergeCell ref="E49:J49"/>
    <mergeCell ref="E50:F50"/>
    <mergeCell ref="G50:I50"/>
    <mergeCell ref="E57:F57"/>
    <mergeCell ref="G57:I57"/>
    <mergeCell ref="E54:F54"/>
    <mergeCell ref="G54:I54"/>
    <mergeCell ref="E55:F55"/>
    <mergeCell ref="G55:I55"/>
    <mergeCell ref="E56:F56"/>
    <mergeCell ref="G56:I56"/>
    <mergeCell ref="E51:F51"/>
    <mergeCell ref="G51:I51"/>
    <mergeCell ref="E52:F52"/>
    <mergeCell ref="G52:I52"/>
    <mergeCell ref="E53:F53"/>
    <mergeCell ref="G53:I53"/>
  </mergeCells>
  <pageMargins left="0.25" right="0.25" top="0.75" bottom="0.75" header="0.3" footer="0.3"/>
  <pageSetup scale="4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showGridLines="0" workbookViewId="0">
      <selection activeCell="F86" sqref="F86"/>
    </sheetView>
  </sheetViews>
  <sheetFormatPr baseColWidth="10" defaultColWidth="11.5" defaultRowHeight="15" outlineLevelRow="1" x14ac:dyDescent="0.2"/>
  <cols>
    <col min="1" max="1" width="2.5" customWidth="1"/>
    <col min="2" max="2" width="6.5" bestFit="1" customWidth="1"/>
    <col min="3" max="3" width="24.5" bestFit="1" customWidth="1"/>
    <col min="4" max="5" width="17.5" bestFit="1" customWidth="1"/>
    <col min="6" max="6" width="13.1640625" bestFit="1" customWidth="1"/>
  </cols>
  <sheetData>
    <row r="1" spans="1:6" x14ac:dyDescent="0.2">
      <c r="A1" s="179" t="s">
        <v>65</v>
      </c>
    </row>
    <row r="2" spans="1:6" x14ac:dyDescent="0.2">
      <c r="A2" s="179" t="s">
        <v>66</v>
      </c>
    </row>
    <row r="3" spans="1:6" x14ac:dyDescent="0.2">
      <c r="A3" s="179" t="s">
        <v>67</v>
      </c>
    </row>
    <row r="6" spans="1:6" ht="16" thickBot="1" x14ac:dyDescent="0.25">
      <c r="A6" t="s">
        <v>68</v>
      </c>
    </row>
    <row r="7" spans="1:6" ht="16" thickBot="1" x14ac:dyDescent="0.25">
      <c r="B7" s="181" t="s">
        <v>69</v>
      </c>
      <c r="C7" s="181" t="s">
        <v>70</v>
      </c>
      <c r="D7" s="181" t="s">
        <v>71</v>
      </c>
      <c r="E7" s="181" t="s">
        <v>72</v>
      </c>
      <c r="F7" s="181" t="s">
        <v>73</v>
      </c>
    </row>
    <row r="8" spans="1:6" ht="16" thickBot="1" x14ac:dyDescent="0.25">
      <c r="B8" s="180" t="s">
        <v>79</v>
      </c>
      <c r="C8" s="180" t="s">
        <v>80</v>
      </c>
      <c r="D8" s="184">
        <v>2999985597.0999999</v>
      </c>
      <c r="E8" s="184">
        <v>2999985597.0999999</v>
      </c>
      <c r="F8" s="180" t="s">
        <v>81</v>
      </c>
    </row>
    <row r="11" spans="1:6" ht="16" thickBot="1" x14ac:dyDescent="0.25">
      <c r="A11" t="s">
        <v>74</v>
      </c>
    </row>
    <row r="12" spans="1:6" ht="16" thickBot="1" x14ac:dyDescent="0.25">
      <c r="B12" s="181" t="s">
        <v>69</v>
      </c>
      <c r="C12" s="181" t="s">
        <v>70</v>
      </c>
      <c r="D12" s="181" t="s">
        <v>71</v>
      </c>
      <c r="E12" s="181" t="s">
        <v>72</v>
      </c>
      <c r="F12" s="181" t="s">
        <v>75</v>
      </c>
    </row>
    <row r="13" spans="1:6" x14ac:dyDescent="0.2">
      <c r="B13" s="195" t="s">
        <v>302</v>
      </c>
      <c r="C13" s="193"/>
      <c r="D13" s="193"/>
      <c r="E13" s="193"/>
      <c r="F13" s="193"/>
    </row>
    <row r="14" spans="1:6" hidden="1" outlineLevel="1" x14ac:dyDescent="0.2">
      <c r="B14" s="183" t="s">
        <v>82</v>
      </c>
      <c r="C14" s="183" t="s">
        <v>83</v>
      </c>
      <c r="D14" s="185">
        <v>53000</v>
      </c>
      <c r="E14" s="185">
        <v>53000</v>
      </c>
      <c r="F14" s="183" t="s">
        <v>81</v>
      </c>
    </row>
    <row r="15" spans="1:6" hidden="1" outlineLevel="1" x14ac:dyDescent="0.2">
      <c r="B15" s="183" t="s">
        <v>84</v>
      </c>
      <c r="C15" s="183" t="s">
        <v>85</v>
      </c>
      <c r="D15" s="185">
        <v>0</v>
      </c>
      <c r="E15" s="185">
        <v>0</v>
      </c>
      <c r="F15" s="183" t="s">
        <v>81</v>
      </c>
    </row>
    <row r="16" spans="1:6" hidden="1" outlineLevel="1" x14ac:dyDescent="0.2">
      <c r="B16" s="183" t="s">
        <v>86</v>
      </c>
      <c r="C16" s="183" t="s">
        <v>87</v>
      </c>
      <c r="D16" s="185">
        <v>0</v>
      </c>
      <c r="E16" s="185">
        <v>0</v>
      </c>
      <c r="F16" s="183" t="s">
        <v>81</v>
      </c>
    </row>
    <row r="17" spans="2:6" hidden="1" outlineLevel="1" x14ac:dyDescent="0.2">
      <c r="B17" s="183" t="s">
        <v>88</v>
      </c>
      <c r="C17" s="183" t="s">
        <v>89</v>
      </c>
      <c r="D17" s="185">
        <v>0</v>
      </c>
      <c r="E17" s="185">
        <v>0</v>
      </c>
      <c r="F17" s="183" t="s">
        <v>81</v>
      </c>
    </row>
    <row r="18" spans="2:6" hidden="1" outlineLevel="1" x14ac:dyDescent="0.2">
      <c r="B18" s="183" t="s">
        <v>90</v>
      </c>
      <c r="C18" s="183" t="s">
        <v>91</v>
      </c>
      <c r="D18" s="185">
        <v>79500</v>
      </c>
      <c r="E18" s="185">
        <v>79500</v>
      </c>
      <c r="F18" s="183" t="s">
        <v>81</v>
      </c>
    </row>
    <row r="19" spans="2:6" hidden="1" outlineLevel="1" x14ac:dyDescent="0.2">
      <c r="B19" s="183" t="s">
        <v>92</v>
      </c>
      <c r="C19" s="183" t="s">
        <v>93</v>
      </c>
      <c r="D19" s="185">
        <v>79500</v>
      </c>
      <c r="E19" s="185">
        <v>79500</v>
      </c>
      <c r="F19" s="183" t="s">
        <v>81</v>
      </c>
    </row>
    <row r="20" spans="2:6" hidden="1" outlineLevel="1" x14ac:dyDescent="0.2">
      <c r="B20" s="183" t="s">
        <v>94</v>
      </c>
      <c r="C20" s="183" t="s">
        <v>95</v>
      </c>
      <c r="D20" s="185">
        <v>318000</v>
      </c>
      <c r="E20" s="185">
        <v>318000</v>
      </c>
      <c r="F20" s="183" t="s">
        <v>81</v>
      </c>
    </row>
    <row r="21" spans="2:6" hidden="1" outlineLevel="1" x14ac:dyDescent="0.2">
      <c r="B21" s="183" t="s">
        <v>96</v>
      </c>
      <c r="C21" s="183" t="s">
        <v>97</v>
      </c>
      <c r="D21" s="186">
        <v>1</v>
      </c>
      <c r="E21" s="186">
        <v>1</v>
      </c>
      <c r="F21" s="187" t="s">
        <v>98</v>
      </c>
    </row>
    <row r="22" spans="2:6" hidden="1" outlineLevel="1" x14ac:dyDescent="0.2">
      <c r="B22" s="183" t="s">
        <v>99</v>
      </c>
      <c r="C22" s="183" t="s">
        <v>100</v>
      </c>
      <c r="D22" s="185">
        <v>0</v>
      </c>
      <c r="E22" s="185">
        <v>0</v>
      </c>
      <c r="F22" s="183" t="s">
        <v>81</v>
      </c>
    </row>
    <row r="23" spans="2:6" hidden="1" outlineLevel="1" x14ac:dyDescent="0.2">
      <c r="B23" s="183" t="s">
        <v>101</v>
      </c>
      <c r="C23" s="183" t="s">
        <v>102</v>
      </c>
      <c r="D23" s="185">
        <v>0</v>
      </c>
      <c r="E23" s="185">
        <v>0</v>
      </c>
      <c r="F23" s="183" t="s">
        <v>81</v>
      </c>
    </row>
    <row r="24" spans="2:6" hidden="1" outlineLevel="1" x14ac:dyDescent="0.2">
      <c r="B24" s="183" t="s">
        <v>103</v>
      </c>
      <c r="C24" s="183" t="s">
        <v>104</v>
      </c>
      <c r="D24" s="185">
        <v>0</v>
      </c>
      <c r="E24" s="185">
        <v>0</v>
      </c>
      <c r="F24" s="183" t="s">
        <v>81</v>
      </c>
    </row>
    <row r="25" spans="2:6" hidden="1" outlineLevel="1" x14ac:dyDescent="0.2">
      <c r="B25" s="183" t="s">
        <v>105</v>
      </c>
      <c r="C25" s="183" t="s">
        <v>106</v>
      </c>
      <c r="D25" s="185">
        <v>0</v>
      </c>
      <c r="E25" s="185">
        <v>0</v>
      </c>
      <c r="F25" s="183" t="s">
        <v>81</v>
      </c>
    </row>
    <row r="26" spans="2:6" hidden="1" outlineLevel="1" x14ac:dyDescent="0.2">
      <c r="B26" s="183" t="s">
        <v>107</v>
      </c>
      <c r="C26" s="183" t="s">
        <v>108</v>
      </c>
      <c r="D26" s="185">
        <v>0</v>
      </c>
      <c r="E26" s="185">
        <v>0</v>
      </c>
      <c r="F26" s="183" t="s">
        <v>81</v>
      </c>
    </row>
    <row r="27" spans="2:6" hidden="1" outlineLevel="1" x14ac:dyDescent="0.2">
      <c r="B27" s="183" t="s">
        <v>109</v>
      </c>
      <c r="C27" s="183" t="s">
        <v>110</v>
      </c>
      <c r="D27" s="185">
        <v>0</v>
      </c>
      <c r="E27" s="185">
        <v>0</v>
      </c>
      <c r="F27" s="183" t="s">
        <v>81</v>
      </c>
    </row>
    <row r="28" spans="2:6" hidden="1" outlineLevel="1" x14ac:dyDescent="0.2">
      <c r="B28" s="183" t="s">
        <v>111</v>
      </c>
      <c r="C28" s="183" t="s">
        <v>112</v>
      </c>
      <c r="D28" s="185">
        <v>0</v>
      </c>
      <c r="E28" s="185">
        <v>0</v>
      </c>
      <c r="F28" s="183" t="s">
        <v>81</v>
      </c>
    </row>
    <row r="29" spans="2:6" hidden="1" outlineLevel="1" x14ac:dyDescent="0.2">
      <c r="B29" s="183" t="s">
        <v>113</v>
      </c>
      <c r="C29" s="183" t="s">
        <v>114</v>
      </c>
      <c r="D29" s="186">
        <v>0</v>
      </c>
      <c r="E29" s="186">
        <v>0</v>
      </c>
      <c r="F29" s="187" t="s">
        <v>98</v>
      </c>
    </row>
    <row r="30" spans="2:6" hidden="1" outlineLevel="1" x14ac:dyDescent="0.2">
      <c r="B30" s="183" t="s">
        <v>115</v>
      </c>
      <c r="C30" s="183" t="s">
        <v>116</v>
      </c>
      <c r="D30" s="185">
        <v>0</v>
      </c>
      <c r="E30" s="185">
        <v>0</v>
      </c>
      <c r="F30" s="183" t="s">
        <v>81</v>
      </c>
    </row>
    <row r="31" spans="2:6" hidden="1" outlineLevel="1" x14ac:dyDescent="0.2">
      <c r="B31" s="183" t="s">
        <v>117</v>
      </c>
      <c r="C31" s="183" t="s">
        <v>118</v>
      </c>
      <c r="D31" s="185">
        <v>0</v>
      </c>
      <c r="E31" s="185">
        <v>0</v>
      </c>
      <c r="F31" s="183" t="s">
        <v>81</v>
      </c>
    </row>
    <row r="32" spans="2:6" hidden="1" outlineLevel="1" x14ac:dyDescent="0.2">
      <c r="B32" s="183" t="s">
        <v>119</v>
      </c>
      <c r="C32" s="183" t="s">
        <v>120</v>
      </c>
      <c r="D32" s="185">
        <v>0</v>
      </c>
      <c r="E32" s="185">
        <v>0</v>
      </c>
      <c r="F32" s="183" t="s">
        <v>81</v>
      </c>
    </row>
    <row r="33" spans="2:6" hidden="1" outlineLevel="1" x14ac:dyDescent="0.2">
      <c r="B33" s="183" t="s">
        <v>121</v>
      </c>
      <c r="C33" s="183" t="s">
        <v>122</v>
      </c>
      <c r="D33" s="185">
        <v>0</v>
      </c>
      <c r="E33" s="185">
        <v>0</v>
      </c>
      <c r="F33" s="183" t="s">
        <v>81</v>
      </c>
    </row>
    <row r="34" spans="2:6" hidden="1" outlineLevel="1" x14ac:dyDescent="0.2">
      <c r="B34" s="183" t="s">
        <v>123</v>
      </c>
      <c r="C34" s="183" t="s">
        <v>124</v>
      </c>
      <c r="D34" s="185">
        <v>92000</v>
      </c>
      <c r="E34" s="185">
        <v>92000</v>
      </c>
      <c r="F34" s="183" t="s">
        <v>81</v>
      </c>
    </row>
    <row r="35" spans="2:6" hidden="1" outlineLevel="1" x14ac:dyDescent="0.2">
      <c r="B35" s="183" t="s">
        <v>125</v>
      </c>
      <c r="C35" s="183" t="s">
        <v>126</v>
      </c>
      <c r="D35" s="185">
        <v>100000</v>
      </c>
      <c r="E35" s="185">
        <v>100000</v>
      </c>
      <c r="F35" s="183" t="s">
        <v>81</v>
      </c>
    </row>
    <row r="36" spans="2:6" hidden="1" outlineLevel="1" x14ac:dyDescent="0.2">
      <c r="B36" s="183" t="s">
        <v>127</v>
      </c>
      <c r="C36" s="183" t="s">
        <v>128</v>
      </c>
      <c r="D36" s="185">
        <v>128000</v>
      </c>
      <c r="E36" s="185">
        <v>128000</v>
      </c>
      <c r="F36" s="183" t="s">
        <v>81</v>
      </c>
    </row>
    <row r="37" spans="2:6" hidden="1" outlineLevel="1" x14ac:dyDescent="0.2">
      <c r="B37" s="183" t="s">
        <v>129</v>
      </c>
      <c r="C37" s="183" t="s">
        <v>130</v>
      </c>
      <c r="D37" s="186">
        <v>1</v>
      </c>
      <c r="E37" s="186">
        <v>1</v>
      </c>
      <c r="F37" s="187" t="s">
        <v>98</v>
      </c>
    </row>
    <row r="38" spans="2:6" hidden="1" outlineLevel="1" x14ac:dyDescent="0.2">
      <c r="B38" s="183" t="s">
        <v>131</v>
      </c>
      <c r="C38" s="183" t="s">
        <v>132</v>
      </c>
      <c r="D38" s="185">
        <v>0</v>
      </c>
      <c r="E38" s="185">
        <v>0</v>
      </c>
      <c r="F38" s="183" t="s">
        <v>81</v>
      </c>
    </row>
    <row r="39" spans="2:6" hidden="1" outlineLevel="1" x14ac:dyDescent="0.2">
      <c r="B39" s="183" t="s">
        <v>133</v>
      </c>
      <c r="C39" s="183" t="s">
        <v>134</v>
      </c>
      <c r="D39" s="185">
        <v>0</v>
      </c>
      <c r="E39" s="185">
        <v>0</v>
      </c>
      <c r="F39" s="183" t="s">
        <v>81</v>
      </c>
    </row>
    <row r="40" spans="2:6" hidden="1" outlineLevel="1" x14ac:dyDescent="0.2">
      <c r="B40" s="183" t="s">
        <v>135</v>
      </c>
      <c r="C40" s="183" t="s">
        <v>136</v>
      </c>
      <c r="D40" s="185">
        <v>0</v>
      </c>
      <c r="E40" s="185">
        <v>0</v>
      </c>
      <c r="F40" s="183" t="s">
        <v>81</v>
      </c>
    </row>
    <row r="41" spans="2:6" hidden="1" outlineLevel="1" x14ac:dyDescent="0.2">
      <c r="B41" s="183" t="s">
        <v>137</v>
      </c>
      <c r="C41" s="183" t="s">
        <v>138</v>
      </c>
      <c r="D41" s="185">
        <v>0</v>
      </c>
      <c r="E41" s="185">
        <v>0</v>
      </c>
      <c r="F41" s="183" t="s">
        <v>81</v>
      </c>
    </row>
    <row r="42" spans="2:6" hidden="1" outlineLevel="1" x14ac:dyDescent="0.2">
      <c r="B42" s="183" t="s">
        <v>139</v>
      </c>
      <c r="C42" s="183" t="s">
        <v>140</v>
      </c>
      <c r="D42" s="185">
        <v>0</v>
      </c>
      <c r="E42" s="185">
        <v>0</v>
      </c>
      <c r="F42" s="183" t="s">
        <v>81</v>
      </c>
    </row>
    <row r="43" spans="2:6" hidden="1" outlineLevel="1" x14ac:dyDescent="0.2">
      <c r="B43" s="183" t="s">
        <v>141</v>
      </c>
      <c r="C43" s="183" t="s">
        <v>142</v>
      </c>
      <c r="D43" s="185">
        <v>0</v>
      </c>
      <c r="E43" s="185">
        <v>0</v>
      </c>
      <c r="F43" s="183" t="s">
        <v>81</v>
      </c>
    </row>
    <row r="44" spans="2:6" hidden="1" outlineLevel="1" x14ac:dyDescent="0.2">
      <c r="B44" s="183" t="s">
        <v>143</v>
      </c>
      <c r="C44" s="183" t="s">
        <v>144</v>
      </c>
      <c r="D44" s="185">
        <v>0</v>
      </c>
      <c r="E44" s="185">
        <v>0</v>
      </c>
      <c r="F44" s="183" t="s">
        <v>81</v>
      </c>
    </row>
    <row r="45" spans="2:6" hidden="1" outlineLevel="1" x14ac:dyDescent="0.2">
      <c r="B45" s="183" t="s">
        <v>145</v>
      </c>
      <c r="C45" s="183" t="s">
        <v>146</v>
      </c>
      <c r="D45" s="186">
        <v>0</v>
      </c>
      <c r="E45" s="186">
        <v>0</v>
      </c>
      <c r="F45" s="187" t="s">
        <v>98</v>
      </c>
    </row>
    <row r="46" spans="2:6" hidden="1" outlineLevel="1" x14ac:dyDescent="0.2">
      <c r="B46" s="183" t="s">
        <v>147</v>
      </c>
      <c r="C46" s="183" t="s">
        <v>148</v>
      </c>
      <c r="D46" s="185">
        <v>0</v>
      </c>
      <c r="E46" s="185">
        <v>0</v>
      </c>
      <c r="F46" s="183" t="s">
        <v>81</v>
      </c>
    </row>
    <row r="47" spans="2:6" hidden="1" outlineLevel="1" x14ac:dyDescent="0.2">
      <c r="B47" s="183" t="s">
        <v>149</v>
      </c>
      <c r="C47" s="183" t="s">
        <v>150</v>
      </c>
      <c r="D47" s="185">
        <v>0</v>
      </c>
      <c r="E47" s="185">
        <v>0</v>
      </c>
      <c r="F47" s="183" t="s">
        <v>81</v>
      </c>
    </row>
    <row r="48" spans="2:6" hidden="1" outlineLevel="1" x14ac:dyDescent="0.2">
      <c r="B48" s="183" t="s">
        <v>151</v>
      </c>
      <c r="C48" s="183" t="s">
        <v>152</v>
      </c>
      <c r="D48" s="185">
        <v>0</v>
      </c>
      <c r="E48" s="185">
        <v>0</v>
      </c>
      <c r="F48" s="183" t="s">
        <v>81</v>
      </c>
    </row>
    <row r="49" spans="2:6" hidden="1" outlineLevel="1" x14ac:dyDescent="0.2">
      <c r="B49" s="183" t="s">
        <v>153</v>
      </c>
      <c r="C49" s="183" t="s">
        <v>154</v>
      </c>
      <c r="D49" s="185">
        <v>0</v>
      </c>
      <c r="E49" s="185">
        <v>0</v>
      </c>
      <c r="F49" s="183" t="s">
        <v>81</v>
      </c>
    </row>
    <row r="50" spans="2:6" hidden="1" outlineLevel="1" x14ac:dyDescent="0.2">
      <c r="B50" s="183" t="s">
        <v>155</v>
      </c>
      <c r="C50" s="183" t="s">
        <v>156</v>
      </c>
      <c r="D50" s="185">
        <v>0</v>
      </c>
      <c r="E50" s="185">
        <v>0</v>
      </c>
      <c r="F50" s="183" t="s">
        <v>81</v>
      </c>
    </row>
    <row r="51" spans="2:6" hidden="1" outlineLevel="1" x14ac:dyDescent="0.2">
      <c r="B51" s="183" t="s">
        <v>157</v>
      </c>
      <c r="C51" s="183" t="s">
        <v>158</v>
      </c>
      <c r="D51" s="185">
        <v>0</v>
      </c>
      <c r="E51" s="185">
        <v>0</v>
      </c>
      <c r="F51" s="183" t="s">
        <v>81</v>
      </c>
    </row>
    <row r="52" spans="2:6" hidden="1" outlineLevel="1" x14ac:dyDescent="0.2">
      <c r="B52" s="183" t="s">
        <v>159</v>
      </c>
      <c r="C52" s="183" t="s">
        <v>160</v>
      </c>
      <c r="D52" s="185">
        <v>0</v>
      </c>
      <c r="E52" s="185">
        <v>0</v>
      </c>
      <c r="F52" s="183" t="s">
        <v>81</v>
      </c>
    </row>
    <row r="53" spans="2:6" hidden="1" outlineLevel="1" x14ac:dyDescent="0.2">
      <c r="B53" s="183" t="s">
        <v>161</v>
      </c>
      <c r="C53" s="183" t="s">
        <v>162</v>
      </c>
      <c r="D53" s="186">
        <v>0</v>
      </c>
      <c r="E53" s="186">
        <v>0</v>
      </c>
      <c r="F53" s="187" t="s">
        <v>98</v>
      </c>
    </row>
    <row r="54" spans="2:6" hidden="1" outlineLevel="1" x14ac:dyDescent="0.2">
      <c r="B54" s="183" t="s">
        <v>163</v>
      </c>
      <c r="C54" s="183" t="s">
        <v>164</v>
      </c>
      <c r="D54" s="185">
        <v>46000</v>
      </c>
      <c r="E54" s="185">
        <v>46000</v>
      </c>
      <c r="F54" s="183" t="s">
        <v>81</v>
      </c>
    </row>
    <row r="55" spans="2:6" hidden="1" outlineLevel="1" x14ac:dyDescent="0.2">
      <c r="B55" s="183" t="s">
        <v>165</v>
      </c>
      <c r="C55" s="183" t="s">
        <v>166</v>
      </c>
      <c r="D55" s="185">
        <v>0</v>
      </c>
      <c r="E55" s="185">
        <v>0</v>
      </c>
      <c r="F55" s="183" t="s">
        <v>81</v>
      </c>
    </row>
    <row r="56" spans="2:6" hidden="1" outlineLevel="1" x14ac:dyDescent="0.2">
      <c r="B56" s="183" t="s">
        <v>167</v>
      </c>
      <c r="C56" s="183" t="s">
        <v>168</v>
      </c>
      <c r="D56" s="185">
        <v>0</v>
      </c>
      <c r="E56" s="185">
        <v>0</v>
      </c>
      <c r="F56" s="183" t="s">
        <v>81</v>
      </c>
    </row>
    <row r="57" spans="2:6" hidden="1" outlineLevel="1" x14ac:dyDescent="0.2">
      <c r="B57" s="183" t="s">
        <v>169</v>
      </c>
      <c r="C57" s="183" t="s">
        <v>170</v>
      </c>
      <c r="D57" s="185">
        <v>0</v>
      </c>
      <c r="E57" s="185">
        <v>0</v>
      </c>
      <c r="F57" s="183" t="s">
        <v>81</v>
      </c>
    </row>
    <row r="58" spans="2:6" hidden="1" outlineLevel="1" x14ac:dyDescent="0.2">
      <c r="B58" s="183" t="s">
        <v>171</v>
      </c>
      <c r="C58" s="183" t="s">
        <v>172</v>
      </c>
      <c r="D58" s="185">
        <v>0</v>
      </c>
      <c r="E58" s="185">
        <v>0</v>
      </c>
      <c r="F58" s="183" t="s">
        <v>81</v>
      </c>
    </row>
    <row r="59" spans="2:6" hidden="1" outlineLevel="1" x14ac:dyDescent="0.2">
      <c r="B59" s="183" t="s">
        <v>173</v>
      </c>
      <c r="C59" s="183" t="s">
        <v>174</v>
      </c>
      <c r="D59" s="185">
        <v>38000</v>
      </c>
      <c r="E59" s="185">
        <v>38000</v>
      </c>
      <c r="F59" s="183" t="s">
        <v>81</v>
      </c>
    </row>
    <row r="60" spans="2:6" hidden="1" outlineLevel="1" x14ac:dyDescent="0.2">
      <c r="B60" s="183" t="s">
        <v>175</v>
      </c>
      <c r="C60" s="183" t="s">
        <v>176</v>
      </c>
      <c r="D60" s="185">
        <v>516000</v>
      </c>
      <c r="E60" s="185">
        <v>516000</v>
      </c>
      <c r="F60" s="183" t="s">
        <v>81</v>
      </c>
    </row>
    <row r="61" spans="2:6" hidden="1" outlineLevel="1" x14ac:dyDescent="0.2">
      <c r="B61" s="183" t="s">
        <v>177</v>
      </c>
      <c r="C61" s="183" t="s">
        <v>178</v>
      </c>
      <c r="D61" s="186">
        <v>1</v>
      </c>
      <c r="E61" s="186">
        <v>1</v>
      </c>
      <c r="F61" s="187" t="s">
        <v>98</v>
      </c>
    </row>
    <row r="62" spans="2:6" hidden="1" outlineLevel="1" x14ac:dyDescent="0.2">
      <c r="B62" s="183" t="s">
        <v>179</v>
      </c>
      <c r="C62" s="183" t="s">
        <v>180</v>
      </c>
      <c r="D62" s="186">
        <v>0</v>
      </c>
      <c r="E62" s="186">
        <v>0</v>
      </c>
      <c r="F62" s="183" t="s">
        <v>81</v>
      </c>
    </row>
    <row r="63" spans="2:6" hidden="1" outlineLevel="1" x14ac:dyDescent="0.2">
      <c r="B63" s="183" t="s">
        <v>181</v>
      </c>
      <c r="C63" s="183" t="s">
        <v>182</v>
      </c>
      <c r="D63" s="186">
        <v>0</v>
      </c>
      <c r="E63" s="186">
        <v>0</v>
      </c>
      <c r="F63" s="183" t="s">
        <v>81</v>
      </c>
    </row>
    <row r="64" spans="2:6" hidden="1" outlineLevel="1" x14ac:dyDescent="0.2">
      <c r="B64" s="183" t="s">
        <v>183</v>
      </c>
      <c r="C64" s="183" t="s">
        <v>184</v>
      </c>
      <c r="D64" s="185">
        <v>0</v>
      </c>
      <c r="E64" s="185">
        <v>0</v>
      </c>
      <c r="F64" s="183" t="s">
        <v>81</v>
      </c>
    </row>
    <row r="65" spans="2:6" hidden="1" outlineLevel="1" x14ac:dyDescent="0.2">
      <c r="B65" s="183" t="s">
        <v>185</v>
      </c>
      <c r="C65" s="183" t="s">
        <v>186</v>
      </c>
      <c r="D65" s="185">
        <v>0</v>
      </c>
      <c r="E65" s="185">
        <v>0</v>
      </c>
      <c r="F65" s="183" t="s">
        <v>81</v>
      </c>
    </row>
    <row r="66" spans="2:6" hidden="1" outlineLevel="1" x14ac:dyDescent="0.2">
      <c r="B66" s="183" t="s">
        <v>187</v>
      </c>
      <c r="C66" s="183" t="s">
        <v>188</v>
      </c>
      <c r="D66" s="185">
        <v>0</v>
      </c>
      <c r="E66" s="185">
        <v>0</v>
      </c>
      <c r="F66" s="183" t="s">
        <v>81</v>
      </c>
    </row>
    <row r="67" spans="2:6" hidden="1" outlineLevel="1" x14ac:dyDescent="0.2">
      <c r="B67" s="183" t="s">
        <v>189</v>
      </c>
      <c r="C67" s="183" t="s">
        <v>190</v>
      </c>
      <c r="D67" s="186">
        <v>0</v>
      </c>
      <c r="E67" s="186">
        <v>0</v>
      </c>
      <c r="F67" s="183" t="s">
        <v>81</v>
      </c>
    </row>
    <row r="68" spans="2:6" hidden="1" outlineLevel="1" x14ac:dyDescent="0.2">
      <c r="B68" s="183" t="s">
        <v>191</v>
      </c>
      <c r="C68" s="183" t="s">
        <v>192</v>
      </c>
      <c r="D68" s="186">
        <v>0</v>
      </c>
      <c r="E68" s="186">
        <v>0</v>
      </c>
      <c r="F68" s="183" t="s">
        <v>81</v>
      </c>
    </row>
    <row r="69" spans="2:6" hidden="1" outlineLevel="1" x14ac:dyDescent="0.2">
      <c r="B69" s="183" t="s">
        <v>193</v>
      </c>
      <c r="C69" s="183" t="s">
        <v>194</v>
      </c>
      <c r="D69" s="186">
        <v>0</v>
      </c>
      <c r="E69" s="186">
        <v>0</v>
      </c>
      <c r="F69" s="187" t="s">
        <v>98</v>
      </c>
    </row>
    <row r="70" spans="2:6" hidden="1" outlineLevel="1" x14ac:dyDescent="0.2">
      <c r="B70" s="183" t="s">
        <v>195</v>
      </c>
      <c r="C70" s="183" t="s">
        <v>196</v>
      </c>
      <c r="D70" s="185">
        <v>0</v>
      </c>
      <c r="E70" s="185">
        <v>0</v>
      </c>
      <c r="F70" s="183" t="s">
        <v>81</v>
      </c>
    </row>
    <row r="71" spans="2:6" hidden="1" outlineLevel="1" x14ac:dyDescent="0.2">
      <c r="B71" s="183" t="s">
        <v>197</v>
      </c>
      <c r="C71" s="183" t="s">
        <v>198</v>
      </c>
      <c r="D71" s="185">
        <v>0</v>
      </c>
      <c r="E71" s="185">
        <v>0</v>
      </c>
      <c r="F71" s="183" t="s">
        <v>81</v>
      </c>
    </row>
    <row r="72" spans="2:6" hidden="1" outlineLevel="1" x14ac:dyDescent="0.2">
      <c r="B72" s="183" t="s">
        <v>199</v>
      </c>
      <c r="C72" s="183" t="s">
        <v>200</v>
      </c>
      <c r="D72" s="186">
        <v>0</v>
      </c>
      <c r="E72" s="186">
        <v>0</v>
      </c>
      <c r="F72" s="183" t="s">
        <v>81</v>
      </c>
    </row>
    <row r="73" spans="2:6" hidden="1" outlineLevel="1" x14ac:dyDescent="0.2">
      <c r="B73" s="183" t="s">
        <v>201</v>
      </c>
      <c r="C73" s="183" t="s">
        <v>202</v>
      </c>
      <c r="D73" s="186">
        <v>0</v>
      </c>
      <c r="E73" s="186">
        <v>0</v>
      </c>
      <c r="F73" s="183" t="s">
        <v>81</v>
      </c>
    </row>
    <row r="74" spans="2:6" hidden="1" outlineLevel="1" x14ac:dyDescent="0.2">
      <c r="B74" s="183" t="s">
        <v>203</v>
      </c>
      <c r="C74" s="183" t="s">
        <v>204</v>
      </c>
      <c r="D74" s="186">
        <v>0</v>
      </c>
      <c r="E74" s="186">
        <v>0</v>
      </c>
      <c r="F74" s="183" t="s">
        <v>81</v>
      </c>
    </row>
    <row r="75" spans="2:6" hidden="1" outlineLevel="1" x14ac:dyDescent="0.2">
      <c r="B75" s="183" t="s">
        <v>205</v>
      </c>
      <c r="C75" s="183" t="s">
        <v>206</v>
      </c>
      <c r="D75" s="186">
        <v>0</v>
      </c>
      <c r="E75" s="186">
        <v>0</v>
      </c>
      <c r="F75" s="183" t="s">
        <v>81</v>
      </c>
    </row>
    <row r="76" spans="2:6" hidden="1" outlineLevel="1" x14ac:dyDescent="0.2">
      <c r="B76" s="183" t="s">
        <v>207</v>
      </c>
      <c r="C76" s="183" t="s">
        <v>208</v>
      </c>
      <c r="D76" s="185">
        <v>0</v>
      </c>
      <c r="E76" s="185">
        <v>0</v>
      </c>
      <c r="F76" s="183" t="s">
        <v>81</v>
      </c>
    </row>
    <row r="77" spans="2:6" hidden="1" outlineLevel="1" x14ac:dyDescent="0.2">
      <c r="B77" s="183" t="s">
        <v>209</v>
      </c>
      <c r="C77" s="183" t="s">
        <v>210</v>
      </c>
      <c r="D77" s="186">
        <v>0</v>
      </c>
      <c r="E77" s="186">
        <v>0</v>
      </c>
      <c r="F77" s="187" t="s">
        <v>98</v>
      </c>
    </row>
    <row r="78" spans="2:6" hidden="1" outlineLevel="1" x14ac:dyDescent="0.2">
      <c r="B78" s="183" t="s">
        <v>211</v>
      </c>
      <c r="C78" s="183" t="s">
        <v>212</v>
      </c>
      <c r="D78" s="185">
        <v>0</v>
      </c>
      <c r="E78" s="185">
        <v>0</v>
      </c>
      <c r="F78" s="183" t="s">
        <v>81</v>
      </c>
    </row>
    <row r="79" spans="2:6" hidden="1" outlineLevel="1" x14ac:dyDescent="0.2">
      <c r="B79" s="183" t="s">
        <v>213</v>
      </c>
      <c r="C79" s="183" t="s">
        <v>214</v>
      </c>
      <c r="D79" s="185">
        <v>0</v>
      </c>
      <c r="E79" s="185">
        <v>0</v>
      </c>
      <c r="F79" s="183" t="s">
        <v>81</v>
      </c>
    </row>
    <row r="80" spans="2:6" hidden="1" outlineLevel="1" x14ac:dyDescent="0.2">
      <c r="B80" s="183" t="s">
        <v>215</v>
      </c>
      <c r="C80" s="183" t="s">
        <v>216</v>
      </c>
      <c r="D80" s="185">
        <v>0</v>
      </c>
      <c r="E80" s="185">
        <v>0</v>
      </c>
      <c r="F80" s="183" t="s">
        <v>81</v>
      </c>
    </row>
    <row r="81" spans="1:6" hidden="1" outlineLevel="1" x14ac:dyDescent="0.2">
      <c r="B81" s="183" t="s">
        <v>217</v>
      </c>
      <c r="C81" s="183" t="s">
        <v>218</v>
      </c>
      <c r="D81" s="185">
        <v>0</v>
      </c>
      <c r="E81" s="185">
        <v>0</v>
      </c>
      <c r="F81" s="183" t="s">
        <v>81</v>
      </c>
    </row>
    <row r="82" spans="1:6" hidden="1" outlineLevel="1" x14ac:dyDescent="0.2">
      <c r="B82" s="183" t="s">
        <v>219</v>
      </c>
      <c r="C82" s="183" t="s">
        <v>220</v>
      </c>
      <c r="D82" s="185">
        <v>0</v>
      </c>
      <c r="E82" s="185">
        <v>0</v>
      </c>
      <c r="F82" s="183" t="s">
        <v>81</v>
      </c>
    </row>
    <row r="83" spans="1:6" hidden="1" outlineLevel="1" x14ac:dyDescent="0.2">
      <c r="B83" s="183" t="s">
        <v>221</v>
      </c>
      <c r="C83" s="183" t="s">
        <v>222</v>
      </c>
      <c r="D83" s="185">
        <v>0</v>
      </c>
      <c r="E83" s="185">
        <v>0</v>
      </c>
      <c r="F83" s="183" t="s">
        <v>81</v>
      </c>
    </row>
    <row r="84" spans="1:6" hidden="1" outlineLevel="1" x14ac:dyDescent="0.2">
      <c r="B84" s="183" t="s">
        <v>223</v>
      </c>
      <c r="C84" s="183" t="s">
        <v>224</v>
      </c>
      <c r="D84" s="185">
        <v>0</v>
      </c>
      <c r="E84" s="185">
        <v>0</v>
      </c>
      <c r="F84" s="183" t="s">
        <v>81</v>
      </c>
    </row>
    <row r="85" spans="1:6" ht="16" hidden="1" outlineLevel="1" thickBot="1" x14ac:dyDescent="0.25">
      <c r="B85" s="180" t="s">
        <v>225</v>
      </c>
      <c r="C85" s="180" t="s">
        <v>226</v>
      </c>
      <c r="D85" s="188">
        <v>0</v>
      </c>
      <c r="E85" s="188">
        <v>0</v>
      </c>
      <c r="F85" s="189" t="s">
        <v>98</v>
      </c>
    </row>
    <row r="86" spans="1:6" collapsed="1" x14ac:dyDescent="0.2">
      <c r="B86" s="182"/>
      <c r="C86" s="182"/>
      <c r="D86" s="194"/>
      <c r="E86" s="194"/>
      <c r="F86" s="140"/>
    </row>
    <row r="89" spans="1:6" ht="16" thickBot="1" x14ac:dyDescent="0.25">
      <c r="A89" t="s">
        <v>76</v>
      </c>
    </row>
    <row r="90" spans="1:6" ht="16" thickBot="1" x14ac:dyDescent="0.25">
      <c r="B90" s="181" t="s">
        <v>69</v>
      </c>
      <c r="C90" s="181" t="s">
        <v>70</v>
      </c>
      <c r="D90" s="181" t="s">
        <v>77</v>
      </c>
      <c r="E90" s="181" t="s">
        <v>78</v>
      </c>
      <c r="F90" s="181" t="s">
        <v>73</v>
      </c>
    </row>
    <row r="91" spans="1:6" x14ac:dyDescent="0.2">
      <c r="B91" s="183" t="s">
        <v>227</v>
      </c>
      <c r="C91" s="183" t="s">
        <v>47</v>
      </c>
      <c r="D91" s="190">
        <v>-14402.9</v>
      </c>
      <c r="E91" s="183" t="s">
        <v>228</v>
      </c>
      <c r="F91" s="183" t="s">
        <v>81</v>
      </c>
    </row>
    <row r="92" spans="1:6" x14ac:dyDescent="0.2">
      <c r="B92" s="196" t="s">
        <v>303</v>
      </c>
      <c r="C92" s="183"/>
      <c r="D92" s="190"/>
      <c r="E92" s="183"/>
      <c r="F92" s="183"/>
    </row>
    <row r="93" spans="1:6" hidden="1" outlineLevel="1" x14ac:dyDescent="0.2">
      <c r="B93" s="183" t="s">
        <v>229</v>
      </c>
      <c r="C93" s="183" t="s">
        <v>59</v>
      </c>
      <c r="D93" s="185">
        <v>0</v>
      </c>
      <c r="E93" s="183" t="s">
        <v>230</v>
      </c>
      <c r="F93" s="183" t="s">
        <v>81</v>
      </c>
    </row>
    <row r="94" spans="1:6" hidden="1" outlineLevel="1" x14ac:dyDescent="0.2">
      <c r="B94" s="183" t="s">
        <v>231</v>
      </c>
      <c r="C94" s="183" t="s">
        <v>6</v>
      </c>
      <c r="D94" s="185"/>
      <c r="E94" s="183" t="s">
        <v>232</v>
      </c>
      <c r="F94" s="183" t="s">
        <v>81</v>
      </c>
    </row>
    <row r="95" spans="1:6" hidden="1" outlineLevel="1" x14ac:dyDescent="0.2">
      <c r="B95" s="183" t="s">
        <v>233</v>
      </c>
      <c r="C95" s="183" t="s">
        <v>61</v>
      </c>
      <c r="D95" s="185">
        <v>0</v>
      </c>
      <c r="E95" s="183" t="s">
        <v>234</v>
      </c>
      <c r="F95" s="183" t="s">
        <v>81</v>
      </c>
    </row>
    <row r="96" spans="1:6" hidden="1" outlineLevel="1" x14ac:dyDescent="0.2">
      <c r="B96" s="183" t="s">
        <v>235</v>
      </c>
      <c r="C96" s="183" t="s">
        <v>8</v>
      </c>
      <c r="D96" s="185"/>
      <c r="E96" s="183" t="s">
        <v>236</v>
      </c>
      <c r="F96" s="183" t="s">
        <v>81</v>
      </c>
    </row>
    <row r="97" spans="2:6" hidden="1" outlineLevel="1" x14ac:dyDescent="0.2">
      <c r="B97" s="183" t="s">
        <v>237</v>
      </c>
      <c r="C97" s="183" t="s">
        <v>9</v>
      </c>
      <c r="D97" s="185"/>
      <c r="E97" s="183" t="s">
        <v>238</v>
      </c>
      <c r="F97" s="183" t="s">
        <v>81</v>
      </c>
    </row>
    <row r="98" spans="2:6" hidden="1" outlineLevel="1" x14ac:dyDescent="0.2">
      <c r="B98" s="183" t="s">
        <v>239</v>
      </c>
      <c r="C98" s="183" t="s">
        <v>10</v>
      </c>
      <c r="D98" s="185">
        <v>0</v>
      </c>
      <c r="E98" s="183" t="s">
        <v>240</v>
      </c>
      <c r="F98" s="183" t="s">
        <v>81</v>
      </c>
    </row>
    <row r="99" spans="2:6" collapsed="1" x14ac:dyDescent="0.2">
      <c r="B99" s="183"/>
      <c r="C99" s="183"/>
      <c r="D99" s="185"/>
      <c r="E99" s="183"/>
      <c r="F99" s="183"/>
    </row>
    <row r="100" spans="2:6" x14ac:dyDescent="0.2">
      <c r="B100" s="196" t="s">
        <v>304</v>
      </c>
      <c r="C100" s="183"/>
      <c r="D100" s="185"/>
      <c r="E100" s="183"/>
      <c r="F100" s="183"/>
    </row>
    <row r="101" spans="2:6" hidden="1" outlineLevel="1" x14ac:dyDescent="0.2">
      <c r="B101" s="183" t="s">
        <v>241</v>
      </c>
      <c r="C101" s="183" t="s">
        <v>59</v>
      </c>
      <c r="D101" s="185">
        <v>0</v>
      </c>
      <c r="E101" s="183" t="s">
        <v>242</v>
      </c>
      <c r="F101" s="183" t="s">
        <v>81</v>
      </c>
    </row>
    <row r="102" spans="2:6" hidden="1" outlineLevel="1" x14ac:dyDescent="0.2">
      <c r="B102" s="183" t="s">
        <v>243</v>
      </c>
      <c r="C102" s="183" t="s">
        <v>6</v>
      </c>
      <c r="D102" s="185"/>
      <c r="E102" s="183" t="s">
        <v>244</v>
      </c>
      <c r="F102" s="183" t="s">
        <v>81</v>
      </c>
    </row>
    <row r="103" spans="2:6" hidden="1" outlineLevel="1" x14ac:dyDescent="0.2">
      <c r="B103" s="183" t="s">
        <v>245</v>
      </c>
      <c r="C103" s="183" t="s">
        <v>61</v>
      </c>
      <c r="D103" s="185">
        <v>0</v>
      </c>
      <c r="E103" s="183" t="s">
        <v>246</v>
      </c>
      <c r="F103" s="183" t="s">
        <v>81</v>
      </c>
    </row>
    <row r="104" spans="2:6" hidden="1" outlineLevel="1" x14ac:dyDescent="0.2">
      <c r="B104" s="183" t="s">
        <v>247</v>
      </c>
      <c r="C104" s="183" t="s">
        <v>8</v>
      </c>
      <c r="D104" s="185"/>
      <c r="E104" s="183" t="s">
        <v>248</v>
      </c>
      <c r="F104" s="183" t="s">
        <v>81</v>
      </c>
    </row>
    <row r="105" spans="2:6" hidden="1" outlineLevel="1" x14ac:dyDescent="0.2">
      <c r="B105" s="183" t="s">
        <v>249</v>
      </c>
      <c r="C105" s="183" t="s">
        <v>9</v>
      </c>
      <c r="D105" s="185"/>
      <c r="E105" s="183" t="s">
        <v>250</v>
      </c>
      <c r="F105" s="183" t="s">
        <v>81</v>
      </c>
    </row>
    <row r="106" spans="2:6" hidden="1" outlineLevel="1" x14ac:dyDescent="0.2">
      <c r="B106" s="183" t="s">
        <v>251</v>
      </c>
      <c r="C106" s="183" t="s">
        <v>10</v>
      </c>
      <c r="D106" s="185">
        <v>0</v>
      </c>
      <c r="E106" s="183" t="s">
        <v>252</v>
      </c>
      <c r="F106" s="183" t="s">
        <v>81</v>
      </c>
    </row>
    <row r="107" spans="2:6" collapsed="1" x14ac:dyDescent="0.2">
      <c r="B107" s="183"/>
      <c r="C107" s="183"/>
      <c r="D107" s="185"/>
      <c r="E107" s="183"/>
      <c r="F107" s="183"/>
    </row>
    <row r="108" spans="2:6" x14ac:dyDescent="0.2">
      <c r="B108" s="183" t="s">
        <v>253</v>
      </c>
      <c r="C108" s="183" t="s">
        <v>2</v>
      </c>
      <c r="D108" s="185">
        <v>0</v>
      </c>
      <c r="E108" s="183" t="s">
        <v>254</v>
      </c>
      <c r="F108" s="183" t="s">
        <v>81</v>
      </c>
    </row>
    <row r="109" spans="2:6" x14ac:dyDescent="0.2">
      <c r="B109" s="183" t="s">
        <v>255</v>
      </c>
      <c r="C109" s="183" t="s">
        <v>3</v>
      </c>
      <c r="D109" s="185">
        <v>0</v>
      </c>
      <c r="E109" s="183" t="s">
        <v>256</v>
      </c>
      <c r="F109" s="183" t="s">
        <v>81</v>
      </c>
    </row>
    <row r="110" spans="2:6" x14ac:dyDescent="0.2">
      <c r="B110" s="196" t="s">
        <v>305</v>
      </c>
      <c r="C110" s="183"/>
      <c r="D110" s="185"/>
      <c r="E110" s="183"/>
      <c r="F110" s="183"/>
    </row>
    <row r="111" spans="2:6" hidden="1" outlineLevel="1" x14ac:dyDescent="0.2">
      <c r="B111" s="183" t="s">
        <v>257</v>
      </c>
      <c r="C111" s="183" t="s">
        <v>258</v>
      </c>
      <c r="D111" s="191">
        <v>-330000</v>
      </c>
      <c r="E111" s="183" t="s">
        <v>259</v>
      </c>
      <c r="F111" s="183" t="s">
        <v>81</v>
      </c>
    </row>
    <row r="112" spans="2:6" hidden="1" outlineLevel="1" x14ac:dyDescent="0.2">
      <c r="B112" s="183" t="s">
        <v>260</v>
      </c>
      <c r="C112" s="183" t="s">
        <v>261</v>
      </c>
      <c r="D112" s="191">
        <v>0</v>
      </c>
      <c r="E112" s="183" t="s">
        <v>262</v>
      </c>
      <c r="F112" s="183" t="s">
        <v>81</v>
      </c>
    </row>
    <row r="113" spans="2:6" hidden="1" outlineLevel="1" x14ac:dyDescent="0.2">
      <c r="B113" s="183" t="s">
        <v>263</v>
      </c>
      <c r="C113" s="183" t="s">
        <v>264</v>
      </c>
      <c r="D113" s="191">
        <v>-120000</v>
      </c>
      <c r="E113" s="183" t="s">
        <v>265</v>
      </c>
      <c r="F113" s="183" t="s">
        <v>81</v>
      </c>
    </row>
    <row r="114" spans="2:6" hidden="1" outlineLevel="1" x14ac:dyDescent="0.2">
      <c r="B114" s="183" t="s">
        <v>266</v>
      </c>
      <c r="C114" s="183" t="s">
        <v>267</v>
      </c>
      <c r="D114" s="191">
        <v>0</v>
      </c>
      <c r="E114" s="183" t="s">
        <v>268</v>
      </c>
      <c r="F114" s="183" t="s">
        <v>81</v>
      </c>
    </row>
    <row r="115" spans="2:6" hidden="1" outlineLevel="1" x14ac:dyDescent="0.2">
      <c r="B115" s="183" t="s">
        <v>269</v>
      </c>
      <c r="C115" s="183" t="s">
        <v>270</v>
      </c>
      <c r="D115" s="191">
        <v>0</v>
      </c>
      <c r="E115" s="183" t="s">
        <v>271</v>
      </c>
      <c r="F115" s="183" t="s">
        <v>81</v>
      </c>
    </row>
    <row r="116" spans="2:6" hidden="1" outlineLevel="1" x14ac:dyDescent="0.2">
      <c r="B116" s="183" t="s">
        <v>272</v>
      </c>
      <c r="C116" s="183" t="s">
        <v>273</v>
      </c>
      <c r="D116" s="191">
        <v>-400000</v>
      </c>
      <c r="E116" s="183" t="s">
        <v>274</v>
      </c>
      <c r="F116" s="183" t="s">
        <v>81</v>
      </c>
    </row>
    <row r="117" spans="2:6" hidden="1" outlineLevel="1" x14ac:dyDescent="0.2">
      <c r="B117" s="183" t="s">
        <v>275</v>
      </c>
      <c r="C117" s="183" t="s">
        <v>276</v>
      </c>
      <c r="D117" s="191">
        <v>0</v>
      </c>
      <c r="E117" s="183" t="s">
        <v>277</v>
      </c>
      <c r="F117" s="183" t="s">
        <v>81</v>
      </c>
    </row>
    <row r="118" spans="2:6" hidden="1" outlineLevel="1" x14ac:dyDescent="0.2">
      <c r="B118" s="183" t="s">
        <v>278</v>
      </c>
      <c r="C118" s="183" t="s">
        <v>279</v>
      </c>
      <c r="D118" s="191">
        <v>0</v>
      </c>
      <c r="E118" s="183" t="s">
        <v>280</v>
      </c>
      <c r="F118" s="183" t="s">
        <v>81</v>
      </c>
    </row>
    <row r="119" spans="2:6" hidden="1" outlineLevel="1" x14ac:dyDescent="0.2">
      <c r="B119" s="183" t="s">
        <v>281</v>
      </c>
      <c r="C119" s="183" t="s">
        <v>282</v>
      </c>
      <c r="D119" s="191">
        <v>0</v>
      </c>
      <c r="E119" s="183" t="s">
        <v>283</v>
      </c>
      <c r="F119" s="183" t="s">
        <v>81</v>
      </c>
    </row>
    <row r="120" spans="2:6" collapsed="1" x14ac:dyDescent="0.2">
      <c r="B120" s="183"/>
      <c r="C120" s="183"/>
      <c r="D120" s="191"/>
      <c r="E120" s="183"/>
      <c r="F120" s="183"/>
    </row>
    <row r="121" spans="2:6" x14ac:dyDescent="0.2">
      <c r="B121" s="196" t="s">
        <v>306</v>
      </c>
      <c r="C121" s="183"/>
      <c r="D121" s="191"/>
      <c r="E121" s="183"/>
      <c r="F121" s="183"/>
    </row>
    <row r="122" spans="2:6" hidden="1" outlineLevel="1" x14ac:dyDescent="0.2">
      <c r="B122" s="183" t="s">
        <v>284</v>
      </c>
      <c r="C122" s="183" t="s">
        <v>258</v>
      </c>
      <c r="D122" s="191">
        <v>-70000</v>
      </c>
      <c r="E122" s="183" t="s">
        <v>285</v>
      </c>
      <c r="F122" s="187" t="s">
        <v>98</v>
      </c>
    </row>
    <row r="123" spans="2:6" hidden="1" outlineLevel="1" x14ac:dyDescent="0.2">
      <c r="B123" s="183" t="s">
        <v>286</v>
      </c>
      <c r="C123" s="183" t="s">
        <v>261</v>
      </c>
      <c r="D123" s="191">
        <v>0</v>
      </c>
      <c r="E123" s="183" t="s">
        <v>287</v>
      </c>
      <c r="F123" s="187" t="s">
        <v>98</v>
      </c>
    </row>
    <row r="124" spans="2:6" hidden="1" outlineLevel="1" x14ac:dyDescent="0.2">
      <c r="B124" s="183" t="s">
        <v>288</v>
      </c>
      <c r="C124" s="183" t="s">
        <v>264</v>
      </c>
      <c r="D124" s="191">
        <v>-280000</v>
      </c>
      <c r="E124" s="183" t="s">
        <v>289</v>
      </c>
      <c r="F124" s="187" t="s">
        <v>98</v>
      </c>
    </row>
    <row r="125" spans="2:6" hidden="1" outlineLevel="1" x14ac:dyDescent="0.2">
      <c r="B125" s="183" t="s">
        <v>290</v>
      </c>
      <c r="C125" s="183" t="s">
        <v>267</v>
      </c>
      <c r="D125" s="191">
        <v>0</v>
      </c>
      <c r="E125" s="183" t="s">
        <v>291</v>
      </c>
      <c r="F125" s="187" t="s">
        <v>98</v>
      </c>
    </row>
    <row r="126" spans="2:6" hidden="1" outlineLevel="1" x14ac:dyDescent="0.2">
      <c r="B126" s="183" t="s">
        <v>292</v>
      </c>
      <c r="C126" s="183" t="s">
        <v>270</v>
      </c>
      <c r="D126" s="191">
        <v>0</v>
      </c>
      <c r="E126" s="183" t="s">
        <v>293</v>
      </c>
      <c r="F126" s="187" t="s">
        <v>98</v>
      </c>
    </row>
    <row r="127" spans="2:6" hidden="1" outlineLevel="1" x14ac:dyDescent="0.2">
      <c r="B127" s="183" t="s">
        <v>294</v>
      </c>
      <c r="C127" s="183" t="s">
        <v>273</v>
      </c>
      <c r="D127" s="191">
        <v>0</v>
      </c>
      <c r="E127" s="183" t="s">
        <v>295</v>
      </c>
      <c r="F127" s="187" t="s">
        <v>98</v>
      </c>
    </row>
    <row r="128" spans="2:6" hidden="1" outlineLevel="1" x14ac:dyDescent="0.2">
      <c r="B128" s="183" t="s">
        <v>296</v>
      </c>
      <c r="C128" s="183" t="s">
        <v>276</v>
      </c>
      <c r="D128" s="191">
        <v>0</v>
      </c>
      <c r="E128" s="183" t="s">
        <v>297</v>
      </c>
      <c r="F128" s="187" t="s">
        <v>98</v>
      </c>
    </row>
    <row r="129" spans="2:6" hidden="1" outlineLevel="1" x14ac:dyDescent="0.2">
      <c r="B129" s="183" t="s">
        <v>298</v>
      </c>
      <c r="C129" s="183" t="s">
        <v>279</v>
      </c>
      <c r="D129" s="191">
        <v>0</v>
      </c>
      <c r="E129" s="183" t="s">
        <v>299</v>
      </c>
      <c r="F129" s="187" t="s">
        <v>98</v>
      </c>
    </row>
    <row r="130" spans="2:6" ht="16" hidden="1" outlineLevel="1" thickBot="1" x14ac:dyDescent="0.25">
      <c r="B130" s="180" t="s">
        <v>300</v>
      </c>
      <c r="C130" s="180" t="s">
        <v>282</v>
      </c>
      <c r="D130" s="192">
        <v>0</v>
      </c>
      <c r="E130" s="180" t="s">
        <v>301</v>
      </c>
      <c r="F130" s="189" t="s">
        <v>98</v>
      </c>
    </row>
    <row r="131" spans="2:6" collapsed="1" x14ac:dyDescent="0.2">
      <c r="B131" s="182"/>
      <c r="C131" s="182"/>
      <c r="D131" s="197"/>
      <c r="E131" s="182"/>
      <c r="F131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Z105"/>
  <sheetViews>
    <sheetView zoomScale="61" zoomScaleNormal="85" workbookViewId="0">
      <selection activeCell="D35" sqref="D35:K35"/>
    </sheetView>
  </sheetViews>
  <sheetFormatPr baseColWidth="10" defaultColWidth="8.83203125" defaultRowHeight="15" x14ac:dyDescent="0.2"/>
  <cols>
    <col min="1" max="1" width="13.5" bestFit="1" customWidth="1"/>
    <col min="2" max="2" width="18.83203125" bestFit="1" customWidth="1"/>
    <col min="3" max="3" width="20.5" bestFit="1" customWidth="1"/>
    <col min="4" max="4" width="17.83203125" customWidth="1"/>
    <col min="5" max="5" width="19.5" bestFit="1" customWidth="1"/>
    <col min="6" max="8" width="13.5" bestFit="1" customWidth="1"/>
    <col min="9" max="9" width="21.1640625" bestFit="1" customWidth="1"/>
    <col min="10" max="10" width="13.5" bestFit="1" customWidth="1"/>
    <col min="11" max="11" width="12.5" bestFit="1" customWidth="1"/>
    <col min="12" max="12" width="14.83203125" bestFit="1" customWidth="1"/>
    <col min="13" max="13" width="17.5" bestFit="1" customWidth="1"/>
    <col min="14" max="14" width="32.33203125" bestFit="1" customWidth="1"/>
    <col min="15" max="15" width="17.33203125" customWidth="1"/>
    <col min="16" max="16" width="13.1640625" bestFit="1" customWidth="1"/>
    <col min="17" max="17" width="10.5" bestFit="1" customWidth="1"/>
    <col min="18" max="18" width="3" bestFit="1" customWidth="1"/>
    <col min="19" max="19" width="6.1640625" customWidth="1"/>
    <col min="20" max="20" width="14.5" bestFit="1" customWidth="1"/>
    <col min="21" max="21" width="13.1640625" bestFit="1" customWidth="1"/>
    <col min="22" max="22" width="7.1640625" bestFit="1" customWidth="1"/>
    <col min="23" max="23" width="2.1640625" bestFit="1" customWidth="1"/>
    <col min="24" max="24" width="4.5" bestFit="1" customWidth="1"/>
    <col min="25" max="25" width="8.5" customWidth="1"/>
    <col min="26" max="26" width="4" customWidth="1"/>
    <col min="27" max="27" width="11.5" customWidth="1"/>
    <col min="28" max="28" width="3.83203125" customWidth="1"/>
    <col min="29" max="29" width="15.5" bestFit="1" customWidth="1"/>
    <col min="30" max="30" width="10" bestFit="1" customWidth="1"/>
    <col min="31" max="31" width="2.1640625" bestFit="1" customWidth="1"/>
    <col min="32" max="32" width="10.5" bestFit="1" customWidth="1"/>
    <col min="33" max="33" width="4" customWidth="1"/>
    <col min="34" max="34" width="15.5" bestFit="1" customWidth="1"/>
    <col min="35" max="35" width="9.5" bestFit="1" customWidth="1"/>
    <col min="36" max="36" width="2.1640625" bestFit="1" customWidth="1"/>
    <col min="46" max="47" width="8.83203125" bestFit="1" customWidth="1"/>
    <col min="48" max="48" width="11.83203125" bestFit="1" customWidth="1"/>
    <col min="49" max="53" width="8.83203125" bestFit="1" customWidth="1"/>
    <col min="54" max="54" width="11.83203125" bestFit="1" customWidth="1"/>
    <col min="55" max="55" width="10.83203125" bestFit="1" customWidth="1"/>
    <col min="56" max="59" width="8.83203125" bestFit="1" customWidth="1"/>
    <col min="60" max="61" width="10.83203125" bestFit="1" customWidth="1"/>
  </cols>
  <sheetData>
    <row r="1" spans="1:32" ht="19" x14ac:dyDescent="0.25">
      <c r="A1" s="17"/>
      <c r="B1" s="76" t="s">
        <v>33</v>
      </c>
      <c r="C1" s="77"/>
      <c r="D1" s="77"/>
      <c r="E1" s="77"/>
      <c r="F1" s="77"/>
      <c r="G1" s="77"/>
      <c r="H1" s="77"/>
      <c r="I1" s="77"/>
      <c r="J1" s="78"/>
      <c r="K1" s="79"/>
      <c r="L1" s="17"/>
      <c r="M1" s="21"/>
      <c r="N1" s="21"/>
      <c r="O1" s="21"/>
      <c r="P1" s="21"/>
      <c r="Q1" s="17"/>
      <c r="R1" s="17"/>
      <c r="S1" s="17"/>
      <c r="T1" s="17"/>
      <c r="U1" s="17"/>
      <c r="V1" s="17"/>
      <c r="W1" s="17"/>
      <c r="X1" s="17"/>
      <c r="Y1" s="17"/>
    </row>
    <row r="2" spans="1:32" x14ac:dyDescent="0.2">
      <c r="A2" s="17"/>
      <c r="B2" s="80" t="s">
        <v>0</v>
      </c>
      <c r="C2" s="149" t="s">
        <v>1</v>
      </c>
      <c r="D2" s="81" t="s">
        <v>44</v>
      </c>
      <c r="E2" s="148" t="s">
        <v>53</v>
      </c>
      <c r="F2" s="146"/>
      <c r="G2" s="21"/>
      <c r="J2" s="21"/>
      <c r="K2" s="82"/>
      <c r="L2" s="17"/>
      <c r="M2" s="21"/>
      <c r="N2" s="21"/>
      <c r="O2" s="21"/>
      <c r="P2" s="21"/>
      <c r="Q2" s="17"/>
      <c r="R2" s="17"/>
      <c r="S2" s="17"/>
      <c r="T2" s="17"/>
      <c r="U2" s="17"/>
      <c r="V2" s="118"/>
      <c r="W2" s="118"/>
      <c r="X2" s="118"/>
      <c r="Y2" s="118"/>
      <c r="Z2" s="4"/>
      <c r="AA2" s="4"/>
      <c r="AB2" s="4"/>
      <c r="AC2" s="4"/>
      <c r="AD2" s="4"/>
      <c r="AE2" s="4"/>
      <c r="AF2" s="4"/>
    </row>
    <row r="3" spans="1:32" ht="16" thickBot="1" x14ac:dyDescent="0.25">
      <c r="A3" s="17"/>
      <c r="B3" s="172" t="s">
        <v>2</v>
      </c>
      <c r="C3" s="174">
        <v>1.6500000000000001E-2</v>
      </c>
      <c r="D3" s="177">
        <v>530000</v>
      </c>
      <c r="E3" s="177">
        <f>1/C3</f>
        <v>60.606060606060602</v>
      </c>
      <c r="F3" s="147"/>
      <c r="G3" s="21"/>
      <c r="H3" s="21"/>
      <c r="K3" s="82"/>
      <c r="L3" s="17"/>
      <c r="M3" s="21"/>
      <c r="N3" s="17"/>
      <c r="O3" s="21"/>
      <c r="P3" s="21"/>
      <c r="Q3" s="17"/>
      <c r="R3" s="17"/>
      <c r="S3" s="17"/>
      <c r="T3" s="17"/>
      <c r="U3" s="17"/>
      <c r="V3" s="118"/>
      <c r="W3" s="118"/>
      <c r="X3" s="118"/>
      <c r="Y3" s="118"/>
      <c r="Z3" s="4"/>
      <c r="AA3" s="4"/>
      <c r="AB3" s="4"/>
      <c r="AC3" s="4"/>
      <c r="AD3" s="4"/>
      <c r="AE3" s="4"/>
      <c r="AF3" s="4"/>
    </row>
    <row r="4" spans="1:32" ht="20" thickBot="1" x14ac:dyDescent="0.3">
      <c r="A4" s="17"/>
      <c r="B4" s="173" t="s">
        <v>3</v>
      </c>
      <c r="C4" s="175">
        <v>2.1999999999999999E-2</v>
      </c>
      <c r="D4" s="176">
        <v>920000</v>
      </c>
      <c r="E4" s="176">
        <f>1/C4</f>
        <v>45.45454545454546</v>
      </c>
      <c r="F4" s="147"/>
      <c r="G4" s="83"/>
      <c r="H4" s="155" t="s">
        <v>4</v>
      </c>
      <c r="I4" s="156">
        <v>3300000000</v>
      </c>
      <c r="J4" s="21"/>
      <c r="K4" s="82"/>
      <c r="L4" s="17"/>
      <c r="M4" s="21"/>
      <c r="N4" s="21"/>
      <c r="O4" s="21"/>
      <c r="P4" s="21"/>
      <c r="Q4" s="17"/>
      <c r="R4" s="17"/>
      <c r="S4" s="17"/>
      <c r="T4" s="17"/>
      <c r="U4" s="17"/>
      <c r="V4" s="118"/>
      <c r="W4" s="135"/>
      <c r="X4" s="118"/>
      <c r="Y4" s="118"/>
      <c r="Z4" s="118"/>
      <c r="AA4" s="118"/>
      <c r="AB4" s="118"/>
      <c r="AC4" s="118"/>
      <c r="AD4" s="118"/>
      <c r="AE4" s="4"/>
      <c r="AF4" s="4"/>
    </row>
    <row r="5" spans="1:32" ht="16" thickBot="1" x14ac:dyDescent="0.25">
      <c r="A5" s="17"/>
      <c r="B5" s="84"/>
      <c r="C5" s="21"/>
      <c r="D5" s="21"/>
      <c r="E5" s="21"/>
      <c r="F5" s="21"/>
      <c r="G5" s="21"/>
      <c r="H5" s="21"/>
      <c r="I5" s="21"/>
      <c r="J5" s="21"/>
      <c r="K5" s="82"/>
      <c r="L5" s="17"/>
      <c r="M5" s="21"/>
      <c r="N5" s="21"/>
      <c r="O5" s="21"/>
      <c r="P5" s="21"/>
      <c r="Q5" s="17"/>
      <c r="R5" s="17"/>
      <c r="S5" s="17"/>
      <c r="T5" s="17"/>
      <c r="U5" s="17"/>
      <c r="V5" s="118"/>
      <c r="W5" s="136"/>
      <c r="X5" s="118"/>
      <c r="Y5" s="118"/>
      <c r="Z5" s="118"/>
      <c r="AA5" s="118"/>
      <c r="AB5" s="118"/>
      <c r="AC5" s="118"/>
      <c r="AD5" s="118"/>
      <c r="AE5" s="4"/>
      <c r="AF5" s="4"/>
    </row>
    <row r="6" spans="1:32" ht="27" thickBot="1" x14ac:dyDescent="0.35">
      <c r="A6" s="85"/>
      <c r="B6" s="84"/>
      <c r="C6" s="21"/>
      <c r="D6" s="21"/>
      <c r="E6" s="380" t="s">
        <v>42</v>
      </c>
      <c r="F6" s="381"/>
      <c r="G6" s="381"/>
      <c r="H6" s="381"/>
      <c r="I6" s="381"/>
      <c r="J6" s="381"/>
      <c r="K6" s="382"/>
      <c r="L6" s="17"/>
      <c r="M6" s="338" t="s">
        <v>323</v>
      </c>
      <c r="N6" s="339"/>
      <c r="O6" s="340"/>
      <c r="P6" s="21"/>
      <c r="Q6" s="17"/>
      <c r="R6" s="17"/>
      <c r="S6" s="17"/>
      <c r="T6" s="17"/>
      <c r="U6" s="17"/>
      <c r="V6" s="118"/>
      <c r="W6" s="136"/>
      <c r="X6" s="118"/>
      <c r="Y6" s="118"/>
      <c r="Z6" s="118"/>
      <c r="AA6" s="118"/>
      <c r="AB6" s="118"/>
      <c r="AC6" s="118"/>
      <c r="AD6" s="118"/>
      <c r="AE6" s="4"/>
      <c r="AF6" s="4"/>
    </row>
    <row r="7" spans="1:32" ht="16" thickBot="1" x14ac:dyDescent="0.25">
      <c r="A7" s="85"/>
      <c r="B7" s="86"/>
      <c r="C7" s="21"/>
      <c r="D7" s="21"/>
      <c r="E7" s="150" t="s">
        <v>5</v>
      </c>
      <c r="F7" s="151" t="s">
        <v>6</v>
      </c>
      <c r="G7" s="25" t="s">
        <v>7</v>
      </c>
      <c r="H7" s="26" t="s">
        <v>8</v>
      </c>
      <c r="I7" s="27" t="s">
        <v>9</v>
      </c>
      <c r="J7" s="216" t="s">
        <v>10</v>
      </c>
      <c r="K7" s="152" t="s">
        <v>11</v>
      </c>
      <c r="L7" s="17"/>
      <c r="M7" s="21"/>
      <c r="N7" s="21"/>
      <c r="O7" s="21"/>
      <c r="P7" s="21"/>
      <c r="Q7" s="17"/>
      <c r="R7" s="17"/>
      <c r="S7" s="17"/>
      <c r="T7" s="17"/>
      <c r="U7" s="17"/>
      <c r="V7" s="118"/>
      <c r="W7" s="137"/>
      <c r="X7" s="138"/>
      <c r="Y7" s="118"/>
      <c r="Z7" s="118"/>
      <c r="AA7" s="118"/>
      <c r="AB7" s="118"/>
      <c r="AC7" s="118"/>
      <c r="AD7" s="118"/>
      <c r="AE7" s="4"/>
      <c r="AF7" s="4"/>
    </row>
    <row r="8" spans="1:32" x14ac:dyDescent="0.2">
      <c r="A8" s="85"/>
      <c r="B8" s="87"/>
      <c r="C8" s="383" t="s">
        <v>35</v>
      </c>
      <c r="D8" s="384"/>
      <c r="E8" s="268">
        <v>1.44</v>
      </c>
      <c r="F8" s="269">
        <v>1.44</v>
      </c>
      <c r="G8" s="268">
        <v>6.13E-2</v>
      </c>
      <c r="H8" s="215">
        <v>6.13E-2</v>
      </c>
      <c r="I8" s="269">
        <v>6.13E-2</v>
      </c>
      <c r="J8" s="270">
        <v>2.8500000000000001E-2</v>
      </c>
      <c r="K8" s="153">
        <v>7.0000000000000001E-3</v>
      </c>
      <c r="L8" s="17"/>
      <c r="M8" s="21"/>
      <c r="N8" s="21"/>
      <c r="O8" s="21"/>
      <c r="P8" s="21"/>
      <c r="Q8" s="17"/>
      <c r="R8" s="17"/>
      <c r="S8" s="17"/>
      <c r="T8" s="17"/>
      <c r="U8" s="17"/>
      <c r="V8" s="118"/>
      <c r="W8" s="118"/>
      <c r="X8" s="118"/>
      <c r="Y8" s="118"/>
      <c r="Z8" s="4"/>
      <c r="AA8" s="4"/>
      <c r="AB8" s="4"/>
      <c r="AC8" s="4"/>
      <c r="AD8" s="4"/>
      <c r="AE8" s="4"/>
      <c r="AF8" s="4"/>
    </row>
    <row r="9" spans="1:32" x14ac:dyDescent="0.2">
      <c r="A9" s="85"/>
      <c r="B9" s="86"/>
      <c r="C9" s="385" t="s">
        <v>63</v>
      </c>
      <c r="D9" s="386"/>
      <c r="E9" s="398">
        <v>53000</v>
      </c>
      <c r="F9" s="399"/>
      <c r="G9" s="402">
        <v>79500</v>
      </c>
      <c r="H9" s="403"/>
      <c r="I9" s="404"/>
      <c r="J9" s="270">
        <v>79500</v>
      </c>
      <c r="K9" s="153">
        <v>0</v>
      </c>
      <c r="L9" s="17"/>
      <c r="M9" s="21"/>
      <c r="N9" s="21"/>
      <c r="O9" s="21"/>
      <c r="P9" s="21"/>
      <c r="Q9" s="17"/>
      <c r="R9" s="17"/>
      <c r="S9" s="17"/>
      <c r="T9" s="17"/>
      <c r="U9" s="17"/>
      <c r="V9" s="118"/>
      <c r="W9" s="118"/>
      <c r="X9" s="118"/>
      <c r="Y9" s="118"/>
      <c r="Z9" s="4"/>
      <c r="AA9" s="4"/>
      <c r="AB9" s="4"/>
      <c r="AC9" s="4"/>
      <c r="AD9" s="4"/>
      <c r="AE9" s="4"/>
      <c r="AF9" s="4"/>
    </row>
    <row r="10" spans="1:32" ht="16" thickBot="1" x14ac:dyDescent="0.25">
      <c r="A10" s="85"/>
      <c r="B10" s="84"/>
      <c r="C10" s="387" t="s">
        <v>64</v>
      </c>
      <c r="D10" s="388"/>
      <c r="E10" s="400">
        <v>46000</v>
      </c>
      <c r="F10" s="401"/>
      <c r="G10" s="368">
        <v>92000</v>
      </c>
      <c r="H10" s="369"/>
      <c r="I10" s="370"/>
      <c r="J10" s="273">
        <v>138000</v>
      </c>
      <c r="K10" s="154">
        <v>0</v>
      </c>
      <c r="L10" s="17"/>
      <c r="M10" s="21"/>
      <c r="N10" s="17"/>
      <c r="O10" s="21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32" ht="16" thickBot="1" x14ac:dyDescent="0.25">
      <c r="A11" s="85"/>
      <c r="B11" s="84"/>
      <c r="C11" s="21"/>
      <c r="D11" s="21"/>
      <c r="E11" s="21"/>
      <c r="F11" s="21"/>
      <c r="G11" s="21"/>
      <c r="H11" s="21"/>
      <c r="I11" s="21"/>
      <c r="J11" s="21"/>
      <c r="K11" s="82"/>
      <c r="L11" s="17"/>
      <c r="M11" s="21"/>
      <c r="N11" s="88"/>
      <c r="O11" s="21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32" ht="20" thickBot="1" x14ac:dyDescent="0.3">
      <c r="A12" s="85"/>
      <c r="B12" s="84"/>
      <c r="C12" s="21"/>
      <c r="D12" s="21"/>
      <c r="E12" s="389" t="s">
        <v>39</v>
      </c>
      <c r="F12" s="390"/>
      <c r="G12" s="390"/>
      <c r="H12" s="390"/>
      <c r="I12" s="390"/>
      <c r="J12" s="390"/>
      <c r="K12" s="391"/>
      <c r="M12" s="374" t="s">
        <v>58</v>
      </c>
      <c r="N12" s="375"/>
      <c r="O12" s="376"/>
      <c r="P12" s="21"/>
      <c r="Q12" s="17"/>
      <c r="R12" s="17"/>
      <c r="S12" s="17"/>
      <c r="T12" s="17"/>
      <c r="X12" s="17"/>
      <c r="Y12" s="17"/>
    </row>
    <row r="13" spans="1:32" ht="30" customHeight="1" x14ac:dyDescent="0.2">
      <c r="A13" s="85"/>
      <c r="B13" s="89" t="s">
        <v>43</v>
      </c>
      <c r="C13" s="81" t="s">
        <v>14</v>
      </c>
      <c r="D13" s="90" t="s">
        <v>15</v>
      </c>
      <c r="E13" s="165" t="s">
        <v>5</v>
      </c>
      <c r="F13" s="163" t="s">
        <v>6</v>
      </c>
      <c r="G13" s="164" t="s">
        <v>7</v>
      </c>
      <c r="H13" s="163" t="s">
        <v>8</v>
      </c>
      <c r="I13" s="163" t="s">
        <v>9</v>
      </c>
      <c r="J13" s="163" t="s">
        <v>10</v>
      </c>
      <c r="K13" s="166" t="s">
        <v>11</v>
      </c>
      <c r="M13" s="157"/>
      <c r="N13" s="162" t="s">
        <v>56</v>
      </c>
      <c r="O13" s="161" t="s">
        <v>57</v>
      </c>
      <c r="P13" s="21"/>
      <c r="Q13" s="17"/>
      <c r="R13" s="17"/>
      <c r="S13" s="17"/>
      <c r="T13" s="17"/>
      <c r="X13" s="17"/>
      <c r="Y13" s="17"/>
    </row>
    <row r="14" spans="1:32" x14ac:dyDescent="0.2">
      <c r="A14" s="85"/>
      <c r="B14" s="36" t="s">
        <v>16</v>
      </c>
      <c r="C14" s="37">
        <v>2508</v>
      </c>
      <c r="D14" s="231">
        <v>1818</v>
      </c>
      <c r="E14" s="232">
        <f>64400</f>
        <v>64400</v>
      </c>
      <c r="F14" s="233">
        <f>70840</f>
        <v>70840</v>
      </c>
      <c r="G14" s="231">
        <f>6182.4</f>
        <v>6182.4</v>
      </c>
      <c r="H14" s="233">
        <f>5216.4</f>
        <v>5216.3999999999996</v>
      </c>
      <c r="I14" s="233">
        <f>4830</f>
        <v>4830</v>
      </c>
      <c r="J14" s="233">
        <f>4250.4</f>
        <v>4250.3999999999996</v>
      </c>
      <c r="K14" s="234">
        <f>3091.2</f>
        <v>3091.2</v>
      </c>
      <c r="M14" s="129" t="s">
        <v>16</v>
      </c>
      <c r="N14" s="132">
        <f t="shared" ref="N14:N22" si="0">M38*D14</f>
        <v>963540000</v>
      </c>
      <c r="O14" s="133">
        <f>SUMPRODUCT(E14:K14,E38:K38)*C3</f>
        <v>84448541.100000009</v>
      </c>
      <c r="P14" s="21"/>
      <c r="Q14" s="17"/>
      <c r="R14" s="88"/>
      <c r="S14" s="17"/>
      <c r="T14" s="17"/>
      <c r="U14" s="17"/>
      <c r="V14" s="17"/>
      <c r="W14" s="17"/>
      <c r="X14" s="17"/>
      <c r="Y14" s="17"/>
    </row>
    <row r="15" spans="1:32" x14ac:dyDescent="0.2">
      <c r="A15" s="85"/>
      <c r="B15" s="42" t="s">
        <v>17</v>
      </c>
      <c r="C15" s="43">
        <v>1553</v>
      </c>
      <c r="D15" s="235">
        <v>1996.4</v>
      </c>
      <c r="E15" s="236">
        <f>115920</f>
        <v>115920</v>
      </c>
      <c r="F15" s="237">
        <f>127512</f>
        <v>127512</v>
      </c>
      <c r="G15" s="235">
        <f>7084</f>
        <v>7084</v>
      </c>
      <c r="H15" s="237">
        <f>5796</f>
        <v>5796</v>
      </c>
      <c r="I15" s="237">
        <f>5667.2</f>
        <v>5667.2</v>
      </c>
      <c r="J15" s="237">
        <f>5796</f>
        <v>5796</v>
      </c>
      <c r="K15" s="238">
        <f>2704.8</f>
        <v>2704.8</v>
      </c>
      <c r="M15" s="130" t="s">
        <v>17</v>
      </c>
      <c r="N15" s="132">
        <f t="shared" si="0"/>
        <v>0</v>
      </c>
      <c r="O15" s="133">
        <f>SUMPRODUCT(E15:K15,E39:K39)*C3</f>
        <v>0</v>
      </c>
      <c r="P15" s="21"/>
      <c r="Q15" s="17"/>
      <c r="R15" s="88"/>
      <c r="S15" s="17"/>
      <c r="T15" s="17"/>
      <c r="U15" s="17"/>
      <c r="V15" s="17"/>
      <c r="W15" s="17"/>
      <c r="X15" s="17"/>
      <c r="Y15" s="17"/>
    </row>
    <row r="16" spans="1:32" x14ac:dyDescent="0.2">
      <c r="A16" s="85"/>
      <c r="B16" s="48" t="s">
        <v>18</v>
      </c>
      <c r="C16" s="49">
        <v>2508</v>
      </c>
      <c r="D16" s="239">
        <v>1983.4</v>
      </c>
      <c r="E16" s="240">
        <f>64400</f>
        <v>64400</v>
      </c>
      <c r="F16" s="241">
        <f>70840</f>
        <v>70840</v>
      </c>
      <c r="G16" s="239">
        <f>6182.4</f>
        <v>6182.4</v>
      </c>
      <c r="H16" s="241">
        <f>5216.4</f>
        <v>5216.3999999999996</v>
      </c>
      <c r="I16" s="241">
        <f>4830</f>
        <v>4830</v>
      </c>
      <c r="J16" s="241">
        <f>4250.4</f>
        <v>4250.3999999999996</v>
      </c>
      <c r="K16" s="242">
        <f>3091.2</f>
        <v>3091.2</v>
      </c>
      <c r="M16" s="267" t="s">
        <v>18</v>
      </c>
      <c r="N16" s="132">
        <f t="shared" si="0"/>
        <v>634688000</v>
      </c>
      <c r="O16" s="133">
        <f t="shared" ref="O16:O22" si="1">SUMPRODUCT(E16:K16,E40:K40)*$C$4</f>
        <v>87325884.799999997</v>
      </c>
      <c r="P16" s="17"/>
      <c r="Q16" s="17"/>
      <c r="R16" s="17"/>
      <c r="S16" s="17"/>
      <c r="T16" s="88"/>
      <c r="U16" s="17"/>
      <c r="V16" s="17"/>
      <c r="W16" s="17"/>
      <c r="X16" s="17"/>
      <c r="Y16" s="17"/>
    </row>
    <row r="17" spans="1:39" x14ac:dyDescent="0.2">
      <c r="A17" s="85"/>
      <c r="B17" s="48" t="s">
        <v>19</v>
      </c>
      <c r="C17" s="49">
        <v>1553</v>
      </c>
      <c r="D17" s="239">
        <v>2254</v>
      </c>
      <c r="E17" s="240">
        <f>115920</f>
        <v>115920</v>
      </c>
      <c r="F17" s="241">
        <f>127512</f>
        <v>127512</v>
      </c>
      <c r="G17" s="239">
        <f>7084</f>
        <v>7084</v>
      </c>
      <c r="H17" s="241">
        <f>5796</f>
        <v>5796</v>
      </c>
      <c r="I17" s="241">
        <f>5667.2</f>
        <v>5667.2</v>
      </c>
      <c r="J17" s="241">
        <f>5796</f>
        <v>5796</v>
      </c>
      <c r="K17" s="243">
        <f>2704.8</f>
        <v>2704.8</v>
      </c>
      <c r="M17" s="267" t="s">
        <v>19</v>
      </c>
      <c r="N17" s="132">
        <f t="shared" si="0"/>
        <v>0</v>
      </c>
      <c r="O17" s="133">
        <f t="shared" si="1"/>
        <v>0</v>
      </c>
      <c r="P17" s="17"/>
      <c r="Q17" s="17"/>
      <c r="R17" s="17"/>
      <c r="S17" s="17"/>
      <c r="T17" s="88"/>
      <c r="U17" s="17"/>
      <c r="V17" s="17"/>
      <c r="W17" s="17"/>
      <c r="X17" s="17"/>
      <c r="Y17" s="17"/>
    </row>
    <row r="18" spans="1:39" x14ac:dyDescent="0.2">
      <c r="A18" s="85"/>
      <c r="B18" s="48" t="s">
        <v>20</v>
      </c>
      <c r="C18" s="49">
        <v>1380</v>
      </c>
      <c r="D18" s="239">
        <v>2582.4</v>
      </c>
      <c r="E18" s="240">
        <f>103040</f>
        <v>103040</v>
      </c>
      <c r="F18" s="241">
        <f>113344</f>
        <v>113344</v>
      </c>
      <c r="G18" s="239">
        <f>7084</f>
        <v>7084</v>
      </c>
      <c r="H18" s="241">
        <f>5796</f>
        <v>5796</v>
      </c>
      <c r="I18" s="241">
        <f>5667.2</f>
        <v>5667.2</v>
      </c>
      <c r="J18" s="241">
        <f>5796</f>
        <v>5796</v>
      </c>
      <c r="K18" s="242">
        <f>3284.4</f>
        <v>3284.4</v>
      </c>
      <c r="M18" s="267" t="s">
        <v>20</v>
      </c>
      <c r="N18" s="132">
        <f t="shared" si="0"/>
        <v>0</v>
      </c>
      <c r="O18" s="133">
        <f t="shared" si="1"/>
        <v>0</v>
      </c>
      <c r="P18" s="17"/>
      <c r="Q18" s="17"/>
      <c r="R18" s="17"/>
      <c r="S18" s="17"/>
      <c r="T18" s="88"/>
      <c r="U18" s="17"/>
      <c r="V18" s="17"/>
      <c r="W18" s="17"/>
      <c r="X18" s="17"/>
      <c r="Y18" s="17"/>
      <c r="AJ18" s="3"/>
      <c r="AK18" s="3"/>
      <c r="AL18" s="3"/>
      <c r="AM18" s="3"/>
    </row>
    <row r="19" spans="1:39" x14ac:dyDescent="0.2">
      <c r="A19" s="85"/>
      <c r="B19" s="48" t="s">
        <v>21</v>
      </c>
      <c r="C19" s="49">
        <v>2150</v>
      </c>
      <c r="D19" s="239">
        <v>1976.1</v>
      </c>
      <c r="E19" s="240">
        <f>64400</f>
        <v>64400</v>
      </c>
      <c r="F19" s="241">
        <f>70840</f>
        <v>70840</v>
      </c>
      <c r="G19" s="239">
        <f>6182.4</f>
        <v>6182.4</v>
      </c>
      <c r="H19" s="241">
        <f>5280.8</f>
        <v>5280.8</v>
      </c>
      <c r="I19" s="241">
        <f>5216.4</f>
        <v>5216.3999999999996</v>
      </c>
      <c r="J19" s="241">
        <f>4250.4</f>
        <v>4250.3999999999996</v>
      </c>
      <c r="K19" s="242">
        <f>3091.2</f>
        <v>3091.2</v>
      </c>
      <c r="M19" s="267" t="s">
        <v>21</v>
      </c>
      <c r="N19" s="132">
        <f t="shared" si="0"/>
        <v>1185660000</v>
      </c>
      <c r="O19" s="133">
        <f t="shared" si="1"/>
        <v>44323171.199999996</v>
      </c>
      <c r="P19" s="17"/>
      <c r="Q19" s="21"/>
      <c r="R19" s="17"/>
      <c r="S19" s="17"/>
      <c r="T19" s="88"/>
      <c r="U19" s="17"/>
      <c r="V19" s="17"/>
      <c r="W19" s="17"/>
      <c r="X19" s="17"/>
      <c r="Y19" s="17"/>
      <c r="AJ19" s="3"/>
      <c r="AK19" s="3"/>
      <c r="AL19" s="3"/>
      <c r="AM19" s="3"/>
    </row>
    <row r="20" spans="1:39" x14ac:dyDescent="0.2">
      <c r="A20" s="85"/>
      <c r="B20" s="48" t="s">
        <v>22</v>
      </c>
      <c r="C20" s="55">
        <v>30</v>
      </c>
      <c r="D20" s="239">
        <v>2711.3</v>
      </c>
      <c r="E20" s="244">
        <v>0</v>
      </c>
      <c r="F20" s="245">
        <v>0</v>
      </c>
      <c r="G20" s="239">
        <f>9660</f>
        <v>9660</v>
      </c>
      <c r="H20" s="241">
        <f>9016</f>
        <v>9016</v>
      </c>
      <c r="I20" s="241">
        <f>8694</f>
        <v>8694</v>
      </c>
      <c r="J20" s="245">
        <v>0</v>
      </c>
      <c r="K20" s="246">
        <v>0</v>
      </c>
      <c r="M20" s="267" t="s">
        <v>22</v>
      </c>
      <c r="N20" s="132">
        <f t="shared" si="0"/>
        <v>0</v>
      </c>
      <c r="O20" s="133">
        <f t="shared" si="1"/>
        <v>0</v>
      </c>
      <c r="P20" s="17"/>
      <c r="Q20" s="21"/>
      <c r="R20" s="17"/>
      <c r="S20" s="17"/>
      <c r="T20" s="17"/>
      <c r="U20" s="17"/>
      <c r="V20" s="17"/>
      <c r="W20" s="17"/>
      <c r="X20" s="17"/>
      <c r="Y20" s="17"/>
      <c r="AJ20" s="3"/>
      <c r="AK20" s="3"/>
      <c r="AL20" s="3"/>
      <c r="AM20" s="3"/>
    </row>
    <row r="21" spans="1:39" x14ac:dyDescent="0.2">
      <c r="A21" s="85"/>
      <c r="B21" s="48" t="s">
        <v>24</v>
      </c>
      <c r="C21" s="55">
        <v>690</v>
      </c>
      <c r="D21" s="239">
        <v>2704.8</v>
      </c>
      <c r="E21" s="240">
        <f>135240</f>
        <v>135240</v>
      </c>
      <c r="F21" s="241">
        <f>148120</f>
        <v>148120</v>
      </c>
      <c r="G21" s="247">
        <v>0</v>
      </c>
      <c r="H21" s="245">
        <v>0</v>
      </c>
      <c r="I21" s="245">
        <v>0</v>
      </c>
      <c r="J21" s="245">
        <v>0</v>
      </c>
      <c r="K21" s="242">
        <f>3413.2</f>
        <v>3413.2</v>
      </c>
      <c r="M21" s="267" t="s">
        <v>24</v>
      </c>
      <c r="N21" s="132">
        <f t="shared" si="0"/>
        <v>0</v>
      </c>
      <c r="O21" s="133">
        <f t="shared" si="1"/>
        <v>0</v>
      </c>
      <c r="P21" s="17"/>
      <c r="Q21" s="21"/>
      <c r="R21" s="17"/>
      <c r="S21" s="17"/>
      <c r="T21" s="88"/>
      <c r="U21" s="17"/>
      <c r="V21" s="17"/>
      <c r="W21" s="17"/>
      <c r="X21" s="17"/>
      <c r="Y21" s="17"/>
      <c r="AJ21" s="3"/>
      <c r="AK21" s="3"/>
      <c r="AL21" s="3"/>
      <c r="AM21" s="3"/>
    </row>
    <row r="22" spans="1:39" ht="16" thickBot="1" x14ac:dyDescent="0.25">
      <c r="A22" s="85"/>
      <c r="B22" s="60" t="s">
        <v>25</v>
      </c>
      <c r="C22" s="61">
        <v>686</v>
      </c>
      <c r="D22" s="248">
        <v>2125.1999999999998</v>
      </c>
      <c r="E22" s="249">
        <f>103040</f>
        <v>103040</v>
      </c>
      <c r="F22" s="250">
        <f>112700</f>
        <v>112700</v>
      </c>
      <c r="G22" s="248">
        <f>7084</f>
        <v>7084</v>
      </c>
      <c r="H22" s="250">
        <f>5796</f>
        <v>5796</v>
      </c>
      <c r="I22" s="250">
        <f>5538.4</f>
        <v>5538.4</v>
      </c>
      <c r="J22" s="250">
        <f>5860.4</f>
        <v>5860.4</v>
      </c>
      <c r="K22" s="251">
        <f>2769.2</f>
        <v>2769.2</v>
      </c>
      <c r="M22" s="131" t="s">
        <v>25</v>
      </c>
      <c r="N22" s="134">
        <f t="shared" si="0"/>
        <v>0</v>
      </c>
      <c r="O22" s="209">
        <f t="shared" si="1"/>
        <v>0</v>
      </c>
      <c r="P22" s="17"/>
      <c r="Q22" s="17"/>
      <c r="R22" s="17"/>
      <c r="S22" s="17"/>
      <c r="T22" s="88"/>
      <c r="U22" s="17"/>
      <c r="V22" s="17"/>
      <c r="W22" s="17"/>
      <c r="X22" s="17"/>
      <c r="Y22" s="17"/>
      <c r="AJ22" s="3"/>
      <c r="AK22" s="3"/>
      <c r="AL22" s="3"/>
      <c r="AM22" s="3"/>
    </row>
    <row r="23" spans="1:39" ht="22" thickBot="1" x14ac:dyDescent="0.3">
      <c r="A23" s="85"/>
      <c r="B23" s="17"/>
      <c r="C23" s="17"/>
      <c r="D23" s="17"/>
      <c r="E23" s="17"/>
      <c r="F23" s="17"/>
      <c r="G23" s="17"/>
      <c r="H23" s="17"/>
      <c r="I23" s="17"/>
      <c r="J23" s="17"/>
      <c r="K23" s="17"/>
      <c r="M23" s="213" t="s">
        <v>38</v>
      </c>
      <c r="N23" s="214">
        <f>SUM(N14:O22)</f>
        <v>2999985597.0999994</v>
      </c>
      <c r="O23" s="145"/>
      <c r="Q23" s="17"/>
      <c r="R23" s="17"/>
      <c r="S23" s="17"/>
      <c r="T23" s="17"/>
      <c r="U23" s="17"/>
      <c r="V23" s="17"/>
      <c r="W23" s="17"/>
      <c r="X23" s="17"/>
      <c r="Y23" s="17"/>
      <c r="AH23" s="1"/>
      <c r="AJ23" s="3"/>
      <c r="AK23" s="3"/>
      <c r="AL23" s="8"/>
      <c r="AM23" s="3"/>
    </row>
    <row r="24" spans="1:39" ht="15" customHeight="1" x14ac:dyDescent="0.2">
      <c r="A24" s="85"/>
      <c r="B24" s="17"/>
      <c r="C24" s="405" t="s">
        <v>329</v>
      </c>
      <c r="D24" s="30" t="s">
        <v>43</v>
      </c>
      <c r="E24" s="218" t="s">
        <v>5</v>
      </c>
      <c r="F24" s="225" t="s">
        <v>6</v>
      </c>
      <c r="G24" s="218" t="s">
        <v>7</v>
      </c>
      <c r="H24" s="225" t="s">
        <v>8</v>
      </c>
      <c r="I24" s="218" t="s">
        <v>9</v>
      </c>
      <c r="J24" s="218" t="s">
        <v>10</v>
      </c>
      <c r="K24" s="227" t="s">
        <v>11</v>
      </c>
      <c r="U24" s="17"/>
      <c r="V24" s="17"/>
      <c r="W24" s="17"/>
      <c r="X24" s="17"/>
      <c r="Y24" s="17"/>
      <c r="AH24" s="1"/>
      <c r="AJ24" s="3"/>
      <c r="AK24" s="3"/>
      <c r="AL24" s="10"/>
      <c r="AM24" s="3"/>
    </row>
    <row r="25" spans="1:39" ht="16" thickBot="1" x14ac:dyDescent="0.25">
      <c r="A25" s="85"/>
      <c r="B25" s="17"/>
      <c r="C25" s="406"/>
      <c r="D25" s="36" t="s">
        <v>16</v>
      </c>
      <c r="E25" s="226">
        <f t="shared" ref="E25:K25" si="2">$C$3*E8*$C$14</f>
        <v>59.59008</v>
      </c>
      <c r="F25" s="211">
        <f t="shared" si="2"/>
        <v>59.59008</v>
      </c>
      <c r="G25" s="226">
        <f t="shared" si="2"/>
        <v>2.5367166000000001</v>
      </c>
      <c r="H25" s="211">
        <f t="shared" si="2"/>
        <v>2.5367166000000001</v>
      </c>
      <c r="I25" s="226">
        <f t="shared" si="2"/>
        <v>2.5367166000000001</v>
      </c>
      <c r="J25" s="226">
        <f t="shared" si="2"/>
        <v>1.179387</v>
      </c>
      <c r="K25" s="125">
        <f t="shared" si="2"/>
        <v>0.28967399999999999</v>
      </c>
      <c r="S25" s="17"/>
      <c r="T25" s="17"/>
      <c r="U25" s="17"/>
      <c r="V25" s="17"/>
      <c r="W25" s="17"/>
      <c r="X25" s="17"/>
      <c r="Y25" s="17"/>
      <c r="AH25" s="1"/>
      <c r="AJ25" s="3"/>
      <c r="AK25" s="3"/>
      <c r="AL25" s="10"/>
      <c r="AM25" s="3"/>
    </row>
    <row r="26" spans="1:39" ht="20" thickBot="1" x14ac:dyDescent="0.3">
      <c r="A26" s="85"/>
      <c r="B26" s="17"/>
      <c r="C26" s="406"/>
      <c r="D26" s="42" t="s">
        <v>17</v>
      </c>
      <c r="E26" s="226">
        <f t="shared" ref="E26:K26" si="3">$C$3*E8*$C$15</f>
        <v>36.899279999999997</v>
      </c>
      <c r="F26" s="211">
        <f t="shared" si="3"/>
        <v>36.899279999999997</v>
      </c>
      <c r="G26" s="226">
        <f t="shared" si="3"/>
        <v>1.5707818500000001</v>
      </c>
      <c r="H26" s="211">
        <f t="shared" si="3"/>
        <v>1.5707818500000001</v>
      </c>
      <c r="I26" s="226">
        <f t="shared" si="3"/>
        <v>1.5707818500000001</v>
      </c>
      <c r="J26" s="226">
        <f t="shared" si="3"/>
        <v>0.73029825000000004</v>
      </c>
      <c r="K26" s="125">
        <f t="shared" si="3"/>
        <v>0.17937150000000002</v>
      </c>
      <c r="M26" s="374" t="s">
        <v>47</v>
      </c>
      <c r="N26" s="375"/>
      <c r="O26" s="376"/>
      <c r="S26" s="17"/>
      <c r="T26" s="17"/>
      <c r="U26" s="17"/>
      <c r="V26" s="17"/>
      <c r="W26" s="17"/>
      <c r="X26" s="17"/>
      <c r="Y26" s="17"/>
      <c r="AH26" s="1"/>
      <c r="AJ26" s="3"/>
      <c r="AK26" s="3"/>
      <c r="AL26" s="10"/>
      <c r="AM26" s="3"/>
    </row>
    <row r="27" spans="1:39" ht="16" thickBot="1" x14ac:dyDescent="0.25">
      <c r="A27" s="85"/>
      <c r="B27" s="17"/>
      <c r="C27" s="406"/>
      <c r="D27" s="48" t="s">
        <v>18</v>
      </c>
      <c r="E27" s="226">
        <f t="shared" ref="E27:K27" si="4">$C$4*E8*$C$16</f>
        <v>79.453440000000001</v>
      </c>
      <c r="F27" s="211">
        <f t="shared" si="4"/>
        <v>79.453440000000001</v>
      </c>
      <c r="G27" s="226">
        <f t="shared" si="4"/>
        <v>3.3822888</v>
      </c>
      <c r="H27" s="211">
        <f t="shared" si="4"/>
        <v>3.3822888</v>
      </c>
      <c r="I27" s="226">
        <f t="shared" si="4"/>
        <v>3.3822888</v>
      </c>
      <c r="J27" s="226">
        <f t="shared" si="4"/>
        <v>1.5725159999999998</v>
      </c>
      <c r="K27" s="125">
        <f t="shared" si="4"/>
        <v>0.38623200000000002</v>
      </c>
      <c r="M27" s="171">
        <f>N23-I4</f>
        <v>-300014402.90000057</v>
      </c>
      <c r="N27" s="275" t="s">
        <v>34</v>
      </c>
      <c r="O27" s="274">
        <v>0</v>
      </c>
      <c r="S27" s="17"/>
      <c r="T27" s="17"/>
      <c r="U27" s="17"/>
      <c r="V27" s="17"/>
      <c r="W27" s="17"/>
      <c r="X27" s="17"/>
      <c r="Y27" s="17"/>
      <c r="AJ27" s="3"/>
      <c r="AK27" s="3"/>
      <c r="AL27" s="10"/>
      <c r="AM27" s="3"/>
    </row>
    <row r="28" spans="1:39" ht="16" thickBot="1" x14ac:dyDescent="0.25">
      <c r="A28" s="85"/>
      <c r="B28" s="17"/>
      <c r="C28" s="407"/>
      <c r="D28" s="48" t="s">
        <v>19</v>
      </c>
      <c r="E28" s="222">
        <f t="shared" ref="E28:K28" si="5">$C$4*E8*$C$17</f>
        <v>49.199039999999997</v>
      </c>
      <c r="F28" s="271">
        <f t="shared" si="5"/>
        <v>49.199039999999997</v>
      </c>
      <c r="G28" s="222">
        <f t="shared" si="5"/>
        <v>2.0943757999999999</v>
      </c>
      <c r="H28" s="271">
        <f t="shared" si="5"/>
        <v>2.0943757999999999</v>
      </c>
      <c r="I28" s="222">
        <f t="shared" si="5"/>
        <v>2.0943757999999999</v>
      </c>
      <c r="J28" s="222">
        <f t="shared" si="5"/>
        <v>0.9737309999999999</v>
      </c>
      <c r="K28" s="272">
        <f t="shared" si="5"/>
        <v>0.23916200000000001</v>
      </c>
      <c r="L28" s="178"/>
      <c r="T28" s="17"/>
      <c r="U28" s="17"/>
      <c r="V28" s="17"/>
      <c r="W28" s="17"/>
      <c r="X28" s="118"/>
      <c r="Y28" s="118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0"/>
      <c r="AM28" s="3"/>
    </row>
    <row r="29" spans="1:39" ht="20" thickBot="1" x14ac:dyDescent="0.3">
      <c r="A29" s="85"/>
      <c r="B29" s="17"/>
      <c r="C29" s="17"/>
      <c r="D29" s="48" t="s">
        <v>20</v>
      </c>
      <c r="E29" s="222">
        <f>$C$4*E8*$C$18</f>
        <v>43.718400000000003</v>
      </c>
      <c r="F29" s="271">
        <f t="shared" ref="F29:K29" si="6">$C$4*F8*$C$18</f>
        <v>43.718400000000003</v>
      </c>
      <c r="G29" s="222">
        <f t="shared" si="6"/>
        <v>1.8610679999999999</v>
      </c>
      <c r="H29" s="271">
        <f t="shared" si="6"/>
        <v>1.8610679999999999</v>
      </c>
      <c r="I29" s="222">
        <f t="shared" si="6"/>
        <v>1.8610679999999999</v>
      </c>
      <c r="J29" s="222">
        <f t="shared" si="6"/>
        <v>0.86525999999999992</v>
      </c>
      <c r="K29" s="272">
        <f t="shared" si="6"/>
        <v>0.21252000000000001</v>
      </c>
      <c r="L29" s="178"/>
      <c r="M29" s="374" t="s">
        <v>45</v>
      </c>
      <c r="N29" s="375"/>
      <c r="O29" s="376"/>
      <c r="P29" s="217"/>
      <c r="T29" s="17"/>
      <c r="U29" s="17"/>
      <c r="V29" s="17"/>
      <c r="W29" s="17"/>
      <c r="X29" s="118"/>
      <c r="Y29" s="118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0"/>
      <c r="AM29" s="3"/>
    </row>
    <row r="30" spans="1:39" x14ac:dyDescent="0.2">
      <c r="A30" s="85"/>
      <c r="B30" s="17"/>
      <c r="C30" s="17"/>
      <c r="D30" s="48" t="s">
        <v>21</v>
      </c>
      <c r="E30" s="222">
        <f>$C$4*E8*$C$19</f>
        <v>68.111999999999995</v>
      </c>
      <c r="F30" s="271">
        <f t="shared" ref="F30:K30" si="7">$C$4*F8*$C$19</f>
        <v>68.111999999999995</v>
      </c>
      <c r="G30" s="222">
        <f t="shared" si="7"/>
        <v>2.8994899999999997</v>
      </c>
      <c r="H30" s="271">
        <f t="shared" si="7"/>
        <v>2.8994899999999997</v>
      </c>
      <c r="I30" s="222">
        <f t="shared" si="7"/>
        <v>2.8994899999999997</v>
      </c>
      <c r="J30" s="222">
        <f t="shared" si="7"/>
        <v>1.34805</v>
      </c>
      <c r="K30" s="272">
        <f t="shared" si="7"/>
        <v>0.33110000000000001</v>
      </c>
      <c r="L30" s="178"/>
      <c r="M30" s="392" t="s">
        <v>2</v>
      </c>
      <c r="N30" s="393"/>
      <c r="O30" s="394"/>
      <c r="P30" s="217"/>
      <c r="T30" s="17"/>
      <c r="U30" s="17"/>
      <c r="V30" s="17"/>
      <c r="W30" s="17"/>
      <c r="X30" s="118"/>
      <c r="Y30" s="118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0"/>
      <c r="AM30" s="3"/>
    </row>
    <row r="31" spans="1:39" x14ac:dyDescent="0.2">
      <c r="A31" s="85"/>
      <c r="B31" s="17"/>
      <c r="C31" s="17"/>
      <c r="D31" s="48" t="s">
        <v>22</v>
      </c>
      <c r="E31" s="222">
        <f>$C$4*E8*$C$20</f>
        <v>0.95040000000000002</v>
      </c>
      <c r="F31" s="271">
        <f t="shared" ref="F31:K31" si="8">$C$4*F8*$C$20</f>
        <v>0.95040000000000002</v>
      </c>
      <c r="G31" s="222">
        <f t="shared" si="8"/>
        <v>4.0458000000000001E-2</v>
      </c>
      <c r="H31" s="271">
        <f t="shared" si="8"/>
        <v>4.0458000000000001E-2</v>
      </c>
      <c r="I31" s="222">
        <f t="shared" si="8"/>
        <v>4.0458000000000001E-2</v>
      </c>
      <c r="J31" s="222">
        <f t="shared" si="8"/>
        <v>1.881E-2</v>
      </c>
      <c r="K31" s="272">
        <f t="shared" si="8"/>
        <v>4.62E-3</v>
      </c>
      <c r="L31" s="178"/>
      <c r="M31" s="92">
        <f>SUM(E38:K39)-D3</f>
        <v>0</v>
      </c>
      <c r="N31" s="271" t="s">
        <v>46</v>
      </c>
      <c r="O31" s="272">
        <v>0</v>
      </c>
      <c r="P31" s="217"/>
      <c r="T31" s="17"/>
      <c r="U31" s="17"/>
      <c r="V31" s="17"/>
      <c r="W31" s="17"/>
      <c r="X31" s="118"/>
      <c r="Y31" s="118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10"/>
      <c r="AM31" s="3"/>
    </row>
    <row r="32" spans="1:39" x14ac:dyDescent="0.2">
      <c r="A32" s="85"/>
      <c r="B32" s="17"/>
      <c r="C32" s="17"/>
      <c r="D32" s="48" t="s">
        <v>24</v>
      </c>
      <c r="E32" s="222">
        <f>$C$4*E8*$C$21</f>
        <v>21.859200000000001</v>
      </c>
      <c r="F32" s="271">
        <f t="shared" ref="F32:K32" si="9">$C$4*F8*$C$21</f>
        <v>21.859200000000001</v>
      </c>
      <c r="G32" s="222">
        <f t="shared" si="9"/>
        <v>0.93053399999999997</v>
      </c>
      <c r="H32" s="271">
        <f t="shared" si="9"/>
        <v>0.93053399999999997</v>
      </c>
      <c r="I32" s="222">
        <f t="shared" si="9"/>
        <v>0.93053399999999997</v>
      </c>
      <c r="J32" s="222">
        <f t="shared" si="9"/>
        <v>0.43262999999999996</v>
      </c>
      <c r="K32" s="272">
        <f t="shared" si="9"/>
        <v>0.10626000000000001</v>
      </c>
      <c r="L32" s="178"/>
      <c r="M32" s="395" t="s">
        <v>3</v>
      </c>
      <c r="N32" s="396"/>
      <c r="O32" s="397"/>
      <c r="P32" s="217"/>
      <c r="T32" s="17"/>
      <c r="U32" s="17"/>
      <c r="V32" s="17"/>
      <c r="W32" s="17"/>
      <c r="X32" s="118"/>
      <c r="Y32" s="118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0"/>
      <c r="AM32" s="3"/>
    </row>
    <row r="33" spans="1:40" ht="16" thickBot="1" x14ac:dyDescent="0.25">
      <c r="A33" s="85"/>
      <c r="B33" s="17"/>
      <c r="C33" s="17"/>
      <c r="D33" s="60" t="s">
        <v>25</v>
      </c>
      <c r="E33" s="223">
        <f>$C$4*E8*$C$22</f>
        <v>21.732479999999999</v>
      </c>
      <c r="F33" s="275">
        <f t="shared" ref="F33:K33" si="10">$C$4*F8*$C$22</f>
        <v>21.732479999999999</v>
      </c>
      <c r="G33" s="223">
        <f t="shared" si="10"/>
        <v>0.92513959999999995</v>
      </c>
      <c r="H33" s="275">
        <f t="shared" si="10"/>
        <v>0.92513959999999995</v>
      </c>
      <c r="I33" s="223">
        <f t="shared" si="10"/>
        <v>0.92513959999999995</v>
      </c>
      <c r="J33" s="223">
        <f t="shared" si="10"/>
        <v>0.43012199999999995</v>
      </c>
      <c r="K33" s="274">
        <f t="shared" si="10"/>
        <v>0.105644</v>
      </c>
      <c r="L33" s="178"/>
      <c r="M33" s="96">
        <f>SUM(E40:K46)-D4</f>
        <v>0</v>
      </c>
      <c r="N33" s="275" t="s">
        <v>46</v>
      </c>
      <c r="O33" s="274">
        <v>0</v>
      </c>
      <c r="P33" s="217"/>
      <c r="Q33" s="271"/>
      <c r="R33" s="271"/>
      <c r="S33" s="17"/>
      <c r="T33" s="17"/>
      <c r="U33" s="17"/>
      <c r="V33" s="17"/>
      <c r="W33" s="17"/>
      <c r="X33" s="118"/>
      <c r="Y33" s="118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10"/>
      <c r="AM33" s="3"/>
    </row>
    <row r="34" spans="1:40" ht="16" thickBot="1" x14ac:dyDescent="0.25">
      <c r="A34" s="85"/>
      <c r="B34" s="17"/>
      <c r="C34" s="17"/>
      <c r="D34" s="17"/>
      <c r="E34" s="17"/>
      <c r="F34" s="17"/>
      <c r="G34" s="17"/>
      <c r="H34" s="17"/>
      <c r="I34" s="17"/>
      <c r="J34" s="17"/>
      <c r="K34" s="17"/>
      <c r="Q34" s="17"/>
      <c r="R34" s="17"/>
      <c r="S34" s="17"/>
      <c r="T34" s="17"/>
      <c r="U34" s="17"/>
      <c r="V34" s="17"/>
      <c r="W34" s="17"/>
      <c r="X34" s="118"/>
      <c r="Y34" s="118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10"/>
      <c r="AM34" s="3"/>
    </row>
    <row r="35" spans="1:40" ht="20" thickBot="1" x14ac:dyDescent="0.3">
      <c r="A35" s="85"/>
      <c r="B35" s="17"/>
      <c r="C35" s="17"/>
      <c r="D35" s="93" t="s">
        <v>40</v>
      </c>
      <c r="E35" s="94"/>
      <c r="F35" s="94"/>
      <c r="G35" s="94"/>
      <c r="H35" s="94"/>
      <c r="I35" s="94"/>
      <c r="J35" s="94"/>
      <c r="K35" s="95"/>
      <c r="M35" s="17"/>
      <c r="P35" s="374" t="s">
        <v>52</v>
      </c>
      <c r="Q35" s="375"/>
      <c r="R35" s="375"/>
      <c r="S35" s="375"/>
      <c r="T35" s="375"/>
      <c r="U35" s="375"/>
      <c r="V35" s="375"/>
      <c r="W35" s="375"/>
      <c r="X35" s="376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0"/>
      <c r="AM35" s="3"/>
    </row>
    <row r="36" spans="1:40" ht="16" thickBot="1" x14ac:dyDescent="0.25">
      <c r="A36" s="21"/>
      <c r="B36" s="17"/>
      <c r="C36" s="17"/>
      <c r="D36" s="84"/>
      <c r="E36" s="367" t="s">
        <v>41</v>
      </c>
      <c r="F36" s="367"/>
      <c r="G36" s="367"/>
      <c r="H36" s="367"/>
      <c r="I36" s="367"/>
      <c r="J36" s="367"/>
      <c r="K36" s="366"/>
      <c r="M36" s="17"/>
      <c r="N36" s="17"/>
      <c r="P36" s="371" t="s">
        <v>50</v>
      </c>
      <c r="Q36" s="372"/>
      <c r="R36" s="372"/>
      <c r="S36" s="373"/>
      <c r="T36" s="210"/>
      <c r="U36" s="371" t="s">
        <v>51</v>
      </c>
      <c r="V36" s="372"/>
      <c r="W36" s="372"/>
      <c r="X36" s="373"/>
      <c r="Y36" s="140"/>
      <c r="Z36" s="140"/>
      <c r="AA36" s="140"/>
      <c r="AB36" s="141"/>
      <c r="AC36" s="140"/>
      <c r="AD36" s="140"/>
      <c r="AE36" s="140"/>
      <c r="AF36" s="140"/>
      <c r="AG36" s="141"/>
      <c r="AH36" s="140"/>
      <c r="AI36" s="140"/>
      <c r="AJ36" s="140"/>
      <c r="AK36" s="140"/>
      <c r="AM36" s="3"/>
    </row>
    <row r="37" spans="1:40" x14ac:dyDescent="0.2">
      <c r="A37" s="21"/>
      <c r="B37" s="17"/>
      <c r="C37" s="17"/>
      <c r="D37" s="255" t="s">
        <v>43</v>
      </c>
      <c r="E37" s="99" t="s">
        <v>5</v>
      </c>
      <c r="F37" s="100" t="s">
        <v>6</v>
      </c>
      <c r="G37" s="100" t="s">
        <v>7</v>
      </c>
      <c r="H37" s="100" t="s">
        <v>8</v>
      </c>
      <c r="I37" s="100" t="s">
        <v>9</v>
      </c>
      <c r="J37" s="100" t="s">
        <v>10</v>
      </c>
      <c r="K37" s="101" t="s">
        <v>11</v>
      </c>
      <c r="L37" s="158" t="s">
        <v>62</v>
      </c>
      <c r="M37" s="102" t="s">
        <v>36</v>
      </c>
      <c r="N37" s="219" t="s">
        <v>307</v>
      </c>
      <c r="P37" s="277"/>
      <c r="Q37" s="271" t="s">
        <v>54</v>
      </c>
      <c r="R37" s="271"/>
      <c r="S37" s="58" t="s">
        <v>55</v>
      </c>
      <c r="T37" s="271"/>
      <c r="U37" s="277"/>
      <c r="V37" s="271" t="s">
        <v>54</v>
      </c>
      <c r="W37" s="271"/>
      <c r="X37" s="272" t="s">
        <v>55</v>
      </c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M37" s="3"/>
    </row>
    <row r="38" spans="1:40" x14ac:dyDescent="0.2">
      <c r="A38" s="21"/>
      <c r="B38" s="17"/>
      <c r="C38" s="224"/>
      <c r="D38" s="104" t="s">
        <v>16</v>
      </c>
      <c r="E38" s="105">
        <v>53000</v>
      </c>
      <c r="F38" s="105">
        <v>0</v>
      </c>
      <c r="G38" s="105">
        <v>0</v>
      </c>
      <c r="H38" s="105">
        <v>0</v>
      </c>
      <c r="I38" s="105">
        <v>79500</v>
      </c>
      <c r="J38" s="105">
        <v>79500</v>
      </c>
      <c r="K38" s="41">
        <v>318000</v>
      </c>
      <c r="L38" s="159">
        <v>1</v>
      </c>
      <c r="M38" s="106">
        <f t="shared" ref="M38:M46" si="11">SUM(E38:K38)</f>
        <v>530000</v>
      </c>
      <c r="N38" s="222">
        <f>SUMPRODUCT(E25:K25,E38:K38)</f>
        <v>3545820.8082000003</v>
      </c>
      <c r="P38" s="167" t="s">
        <v>16</v>
      </c>
      <c r="Q38" s="126">
        <f t="shared" ref="Q38:Q46" si="12">(L38*200000)-SUM(E38:K38)</f>
        <v>-330000</v>
      </c>
      <c r="R38" s="271" t="s">
        <v>49</v>
      </c>
      <c r="S38" s="125">
        <v>0</v>
      </c>
      <c r="T38" s="211"/>
      <c r="U38" s="167" t="s">
        <v>16</v>
      </c>
      <c r="V38" s="126">
        <f t="shared" ref="V38:V46" si="13">(L38*600000)-SUM(E38:K38)</f>
        <v>70000</v>
      </c>
      <c r="W38" s="271" t="s">
        <v>48</v>
      </c>
      <c r="X38" s="272">
        <v>0</v>
      </c>
      <c r="Y38" s="141"/>
      <c r="Z38" s="142"/>
      <c r="AA38" s="141"/>
      <c r="AB38" s="141"/>
      <c r="AC38" s="103"/>
      <c r="AD38" s="143"/>
      <c r="AE38" s="142"/>
      <c r="AF38" s="141"/>
      <c r="AG38" s="141"/>
      <c r="AH38" s="103"/>
      <c r="AI38" s="141"/>
      <c r="AJ38" s="142"/>
      <c r="AK38" s="141"/>
      <c r="AM38" s="3"/>
    </row>
    <row r="39" spans="1:40" x14ac:dyDescent="0.2">
      <c r="A39" s="17"/>
      <c r="B39" s="17"/>
      <c r="C39" s="17"/>
      <c r="D39" s="107" t="s">
        <v>17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9">
        <v>0</v>
      </c>
      <c r="L39" s="159">
        <v>0</v>
      </c>
      <c r="M39" s="106">
        <f t="shared" si="11"/>
        <v>0</v>
      </c>
      <c r="N39" s="222">
        <f t="shared" ref="N39:N46" si="14">SUMPRODUCT(E26:K26,E39:K39)</f>
        <v>0</v>
      </c>
      <c r="P39" s="168" t="s">
        <v>17</v>
      </c>
      <c r="Q39" s="126">
        <f t="shared" si="12"/>
        <v>0</v>
      </c>
      <c r="R39" s="271" t="s">
        <v>49</v>
      </c>
      <c r="S39" s="125">
        <v>0</v>
      </c>
      <c r="T39" s="211"/>
      <c r="U39" s="168" t="s">
        <v>17</v>
      </c>
      <c r="V39" s="126">
        <f t="shared" si="13"/>
        <v>0</v>
      </c>
      <c r="W39" s="271" t="s">
        <v>48</v>
      </c>
      <c r="X39" s="272">
        <v>0</v>
      </c>
      <c r="Y39" s="141"/>
      <c r="Z39" s="142"/>
      <c r="AA39" s="144"/>
      <c r="AB39" s="144"/>
      <c r="AC39" s="103"/>
      <c r="AD39" s="143"/>
      <c r="AE39" s="142"/>
      <c r="AF39" s="144"/>
      <c r="AG39" s="141"/>
      <c r="AH39" s="103"/>
      <c r="AI39" s="141"/>
      <c r="AJ39" s="142"/>
      <c r="AK39" s="144"/>
      <c r="AM39" s="3"/>
    </row>
    <row r="40" spans="1:40" x14ac:dyDescent="0.2">
      <c r="A40" s="17"/>
      <c r="B40" s="17"/>
      <c r="C40" s="17"/>
      <c r="D40" s="110" t="s">
        <v>18</v>
      </c>
      <c r="E40" s="111">
        <v>46000</v>
      </c>
      <c r="F40" s="111">
        <v>0</v>
      </c>
      <c r="G40" s="111">
        <v>0</v>
      </c>
      <c r="H40" s="111">
        <v>0</v>
      </c>
      <c r="I40" s="111">
        <v>92000</v>
      </c>
      <c r="J40" s="111">
        <v>0</v>
      </c>
      <c r="K40" s="53">
        <v>182000</v>
      </c>
      <c r="L40" s="159">
        <v>1</v>
      </c>
      <c r="M40" s="106">
        <f t="shared" si="11"/>
        <v>320000</v>
      </c>
      <c r="N40" s="222">
        <f t="shared" si="14"/>
        <v>4036323.0336000002</v>
      </c>
      <c r="P40" s="169" t="s">
        <v>18</v>
      </c>
      <c r="Q40" s="126">
        <f t="shared" si="12"/>
        <v>-120000</v>
      </c>
      <c r="R40" s="271" t="s">
        <v>49</v>
      </c>
      <c r="S40" s="272">
        <v>0</v>
      </c>
      <c r="T40" s="271"/>
      <c r="U40" s="169" t="s">
        <v>18</v>
      </c>
      <c r="V40" s="126">
        <f t="shared" si="13"/>
        <v>280000</v>
      </c>
      <c r="W40" s="271" t="s">
        <v>48</v>
      </c>
      <c r="X40" s="272">
        <v>0</v>
      </c>
      <c r="Y40" s="141"/>
      <c r="Z40" s="142"/>
      <c r="AA40" s="144"/>
      <c r="AB40" s="144"/>
      <c r="AC40" s="103"/>
      <c r="AD40" s="143"/>
      <c r="AE40" s="142"/>
      <c r="AF40" s="144"/>
      <c r="AG40" s="141"/>
      <c r="AH40" s="103"/>
      <c r="AI40" s="144"/>
      <c r="AJ40" s="142"/>
      <c r="AK40" s="144"/>
      <c r="AM40" s="12"/>
      <c r="AN40" s="9"/>
    </row>
    <row r="41" spans="1:40" x14ac:dyDescent="0.2">
      <c r="A41" s="17"/>
      <c r="B41" s="17"/>
      <c r="C41" s="17"/>
      <c r="D41" s="110" t="s">
        <v>19</v>
      </c>
      <c r="E41" s="111">
        <v>0</v>
      </c>
      <c r="F41" s="111">
        <v>0</v>
      </c>
      <c r="G41" s="111">
        <v>0</v>
      </c>
      <c r="H41" s="111">
        <v>0</v>
      </c>
      <c r="I41" s="111">
        <v>0</v>
      </c>
      <c r="J41" s="112">
        <v>0</v>
      </c>
      <c r="K41" s="53">
        <v>0</v>
      </c>
      <c r="L41" s="159">
        <v>0</v>
      </c>
      <c r="M41" s="106">
        <f t="shared" si="11"/>
        <v>0</v>
      </c>
      <c r="N41" s="222">
        <f t="shared" si="14"/>
        <v>0</v>
      </c>
      <c r="P41" s="169" t="s">
        <v>19</v>
      </c>
      <c r="Q41" s="126">
        <f t="shared" si="12"/>
        <v>0</v>
      </c>
      <c r="R41" s="271" t="s">
        <v>49</v>
      </c>
      <c r="S41" s="272">
        <v>0</v>
      </c>
      <c r="T41" s="271"/>
      <c r="U41" s="169" t="s">
        <v>19</v>
      </c>
      <c r="V41" s="126">
        <f t="shared" si="13"/>
        <v>0</v>
      </c>
      <c r="W41" s="271" t="s">
        <v>48</v>
      </c>
      <c r="X41" s="272">
        <v>0</v>
      </c>
      <c r="Y41" s="141"/>
      <c r="Z41" s="142"/>
      <c r="AA41" s="141"/>
      <c r="AB41" s="141"/>
      <c r="AC41" s="103"/>
      <c r="AD41" s="143"/>
      <c r="AE41" s="142"/>
      <c r="AF41" s="141"/>
      <c r="AG41" s="141"/>
      <c r="AH41" s="103"/>
      <c r="AI41" s="144"/>
      <c r="AJ41" s="142"/>
      <c r="AK41" s="141"/>
      <c r="AM41" s="9"/>
      <c r="AN41" s="9"/>
    </row>
    <row r="42" spans="1:40" x14ac:dyDescent="0.2">
      <c r="A42" s="17"/>
      <c r="B42" s="17"/>
      <c r="C42" s="17"/>
      <c r="D42" s="110" t="s">
        <v>20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2">
        <v>0</v>
      </c>
      <c r="K42" s="53">
        <v>0</v>
      </c>
      <c r="L42" s="159">
        <v>0</v>
      </c>
      <c r="M42" s="106">
        <f t="shared" si="11"/>
        <v>0</v>
      </c>
      <c r="N42" s="222">
        <f t="shared" si="14"/>
        <v>0</v>
      </c>
      <c r="P42" s="169" t="s">
        <v>20</v>
      </c>
      <c r="Q42" s="126">
        <f t="shared" si="12"/>
        <v>0</v>
      </c>
      <c r="R42" s="271" t="s">
        <v>49</v>
      </c>
      <c r="S42" s="272">
        <v>0</v>
      </c>
      <c r="T42" s="271"/>
      <c r="U42" s="169" t="s">
        <v>20</v>
      </c>
      <c r="V42" s="126">
        <f t="shared" si="13"/>
        <v>0</v>
      </c>
      <c r="W42" s="271" t="s">
        <v>48</v>
      </c>
      <c r="X42" s="272">
        <v>0</v>
      </c>
      <c r="Y42" s="141"/>
      <c r="Z42" s="142"/>
      <c r="AA42" s="141"/>
      <c r="AB42" s="141"/>
      <c r="AC42" s="103"/>
      <c r="AD42" s="143"/>
      <c r="AE42" s="142"/>
      <c r="AF42" s="141"/>
      <c r="AG42" s="141"/>
      <c r="AH42" s="103"/>
      <c r="AI42" s="144"/>
      <c r="AJ42" s="142"/>
      <c r="AK42" s="141"/>
    </row>
    <row r="43" spans="1:40" x14ac:dyDescent="0.2">
      <c r="A43" s="17"/>
      <c r="B43" s="17"/>
      <c r="C43" s="17"/>
      <c r="D43" s="110" t="s">
        <v>21</v>
      </c>
      <c r="E43" s="111">
        <v>0</v>
      </c>
      <c r="F43" s="111">
        <v>0</v>
      </c>
      <c r="G43" s="111">
        <v>0</v>
      </c>
      <c r="H43" s="111">
        <v>0</v>
      </c>
      <c r="I43" s="111">
        <v>0</v>
      </c>
      <c r="J43" s="111">
        <v>138000</v>
      </c>
      <c r="K43" s="53">
        <v>462000</v>
      </c>
      <c r="L43" s="159">
        <v>1</v>
      </c>
      <c r="M43" s="106">
        <f t="shared" si="11"/>
        <v>600000</v>
      </c>
      <c r="N43" s="222">
        <f t="shared" si="14"/>
        <v>338999.1</v>
      </c>
      <c r="P43" s="169" t="s">
        <v>21</v>
      </c>
      <c r="Q43" s="126">
        <f t="shared" si="12"/>
        <v>-400000</v>
      </c>
      <c r="R43" s="271" t="s">
        <v>49</v>
      </c>
      <c r="S43" s="272">
        <v>0</v>
      </c>
      <c r="T43" s="271"/>
      <c r="U43" s="169" t="s">
        <v>21</v>
      </c>
      <c r="V43" s="126">
        <f t="shared" si="13"/>
        <v>0</v>
      </c>
      <c r="W43" s="271" t="s">
        <v>48</v>
      </c>
      <c r="X43" s="272">
        <v>0</v>
      </c>
      <c r="Y43" s="141"/>
      <c r="Z43" s="142"/>
      <c r="AA43" s="141"/>
      <c r="AB43" s="141"/>
      <c r="AC43" s="103"/>
      <c r="AD43" s="143"/>
      <c r="AE43" s="142"/>
      <c r="AF43" s="141"/>
      <c r="AG43" s="141"/>
      <c r="AH43" s="103"/>
      <c r="AI43" s="144"/>
      <c r="AJ43" s="142"/>
      <c r="AK43" s="141"/>
    </row>
    <row r="44" spans="1:40" x14ac:dyDescent="0.2">
      <c r="A44" s="17"/>
      <c r="B44" s="17"/>
      <c r="C44" s="17"/>
      <c r="D44" s="110" t="s">
        <v>22</v>
      </c>
      <c r="E44" s="103">
        <v>0</v>
      </c>
      <c r="F44" s="103">
        <v>0</v>
      </c>
      <c r="G44" s="111">
        <v>0</v>
      </c>
      <c r="H44" s="111">
        <v>0</v>
      </c>
      <c r="I44" s="111">
        <v>0</v>
      </c>
      <c r="J44" s="103">
        <v>0</v>
      </c>
      <c r="K44" s="58">
        <v>0</v>
      </c>
      <c r="L44" s="159">
        <v>0</v>
      </c>
      <c r="M44" s="106">
        <f t="shared" si="11"/>
        <v>0</v>
      </c>
      <c r="N44" s="222">
        <f t="shared" si="14"/>
        <v>0</v>
      </c>
      <c r="P44" s="169" t="s">
        <v>22</v>
      </c>
      <c r="Q44" s="126">
        <f t="shared" si="12"/>
        <v>0</v>
      </c>
      <c r="R44" s="271" t="s">
        <v>49</v>
      </c>
      <c r="S44" s="272">
        <v>0</v>
      </c>
      <c r="T44" s="271"/>
      <c r="U44" s="169" t="s">
        <v>22</v>
      </c>
      <c r="V44" s="126">
        <f t="shared" si="13"/>
        <v>0</v>
      </c>
      <c r="W44" s="271" t="s">
        <v>48</v>
      </c>
      <c r="X44" s="272">
        <v>0</v>
      </c>
      <c r="Y44" s="141"/>
      <c r="Z44" s="142"/>
      <c r="AA44" s="141"/>
      <c r="AB44" s="141"/>
      <c r="AC44" s="103"/>
      <c r="AD44" s="143"/>
      <c r="AE44" s="142"/>
      <c r="AF44" s="141"/>
      <c r="AG44" s="141"/>
      <c r="AH44" s="103"/>
      <c r="AI44" s="144"/>
      <c r="AJ44" s="142"/>
      <c r="AK44" s="141"/>
    </row>
    <row r="45" spans="1:40" x14ac:dyDescent="0.2">
      <c r="A45" s="17"/>
      <c r="B45" s="17"/>
      <c r="C45" s="17"/>
      <c r="D45" s="110" t="s">
        <v>24</v>
      </c>
      <c r="E45" s="111">
        <v>0</v>
      </c>
      <c r="F45" s="111">
        <v>0</v>
      </c>
      <c r="G45" s="103">
        <v>0</v>
      </c>
      <c r="H45" s="103">
        <v>0</v>
      </c>
      <c r="I45" s="103">
        <v>0</v>
      </c>
      <c r="J45" s="103">
        <v>0</v>
      </c>
      <c r="K45" s="53">
        <v>0</v>
      </c>
      <c r="L45" s="159">
        <v>0</v>
      </c>
      <c r="M45" s="106">
        <f t="shared" si="11"/>
        <v>0</v>
      </c>
      <c r="N45" s="222">
        <f t="shared" si="14"/>
        <v>0</v>
      </c>
      <c r="P45" s="169" t="s">
        <v>24</v>
      </c>
      <c r="Q45" s="126">
        <f t="shared" si="12"/>
        <v>0</v>
      </c>
      <c r="R45" s="271" t="s">
        <v>49</v>
      </c>
      <c r="S45" s="272">
        <v>0</v>
      </c>
      <c r="T45" s="271"/>
      <c r="U45" s="169" t="s">
        <v>24</v>
      </c>
      <c r="V45" s="126">
        <f t="shared" si="13"/>
        <v>0</v>
      </c>
      <c r="W45" s="271" t="s">
        <v>48</v>
      </c>
      <c r="X45" s="272">
        <v>0</v>
      </c>
      <c r="Y45" s="141"/>
      <c r="Z45" s="142"/>
      <c r="AA45" s="141"/>
      <c r="AB45" s="141"/>
      <c r="AC45" s="103"/>
      <c r="AD45" s="143"/>
      <c r="AE45" s="142"/>
      <c r="AF45" s="141"/>
      <c r="AG45" s="141"/>
      <c r="AH45" s="103"/>
      <c r="AI45" s="144"/>
      <c r="AJ45" s="142"/>
      <c r="AK45" s="141"/>
    </row>
    <row r="46" spans="1:40" ht="16" thickBot="1" x14ac:dyDescent="0.25">
      <c r="A46" s="17"/>
      <c r="B46" s="17"/>
      <c r="C46" s="17"/>
      <c r="D46" s="113" t="s">
        <v>25</v>
      </c>
      <c r="E46" s="114">
        <v>0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  <c r="K46" s="66">
        <v>0</v>
      </c>
      <c r="L46" s="160">
        <v>0</v>
      </c>
      <c r="M46" s="106">
        <f t="shared" si="11"/>
        <v>0</v>
      </c>
      <c r="N46" s="223">
        <f t="shared" si="14"/>
        <v>0</v>
      </c>
      <c r="P46" s="170" t="s">
        <v>25</v>
      </c>
      <c r="Q46" s="212">
        <f t="shared" si="12"/>
        <v>0</v>
      </c>
      <c r="R46" s="275" t="s">
        <v>49</v>
      </c>
      <c r="S46" s="274">
        <v>0</v>
      </c>
      <c r="T46" s="275"/>
      <c r="U46" s="170" t="s">
        <v>25</v>
      </c>
      <c r="V46" s="212">
        <f t="shared" si="13"/>
        <v>0</v>
      </c>
      <c r="W46" s="275" t="s">
        <v>48</v>
      </c>
      <c r="X46" s="274">
        <v>0</v>
      </c>
      <c r="Y46" s="141"/>
      <c r="Z46" s="142"/>
      <c r="AA46" s="141"/>
      <c r="AB46" s="141"/>
      <c r="AC46" s="103"/>
      <c r="AD46" s="143"/>
      <c r="AE46" s="142"/>
      <c r="AF46" s="141"/>
      <c r="AG46" s="141"/>
      <c r="AH46" s="103"/>
      <c r="AI46" s="144"/>
      <c r="AJ46" s="142"/>
      <c r="AK46" s="141"/>
    </row>
    <row r="47" spans="1:40" ht="16" thickBot="1" x14ac:dyDescent="0.25">
      <c r="A47" s="17"/>
      <c r="B47" s="17"/>
      <c r="C47" s="17"/>
      <c r="D47" s="115" t="s">
        <v>37</v>
      </c>
      <c r="E47" s="116">
        <f t="shared" ref="E47:K47" si="15">SUM(E38:E46)</f>
        <v>99000</v>
      </c>
      <c r="F47" s="116">
        <f t="shared" si="15"/>
        <v>0</v>
      </c>
      <c r="G47" s="116">
        <f t="shared" si="15"/>
        <v>0</v>
      </c>
      <c r="H47" s="116">
        <f t="shared" si="15"/>
        <v>0</v>
      </c>
      <c r="I47" s="116">
        <f t="shared" si="15"/>
        <v>171500</v>
      </c>
      <c r="J47" s="116">
        <f t="shared" si="15"/>
        <v>217500</v>
      </c>
      <c r="K47" s="117">
        <f t="shared" si="15"/>
        <v>962000</v>
      </c>
      <c r="L47" s="118"/>
      <c r="M47" s="221">
        <f>SUM(M38:M46)</f>
        <v>1450000</v>
      </c>
      <c r="N47" s="220">
        <f>SUM(N38:N46)</f>
        <v>7921142.9418000001</v>
      </c>
      <c r="O47" s="121"/>
      <c r="P47" s="121"/>
      <c r="Q47" s="121"/>
      <c r="R47" s="121"/>
      <c r="S47" s="121"/>
      <c r="T47" s="121"/>
      <c r="U47" s="121"/>
      <c r="V47" s="121"/>
      <c r="W47" s="121"/>
      <c r="X47" s="127"/>
      <c r="Y47" s="127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</row>
    <row r="48" spans="1:40" ht="16" thickBo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X48" s="17"/>
      <c r="Y48" s="17"/>
    </row>
    <row r="49" spans="1:52" ht="20" thickBot="1" x14ac:dyDescent="0.3">
      <c r="A49" s="17"/>
      <c r="B49" s="17"/>
      <c r="C49" s="17"/>
      <c r="D49" s="118"/>
      <c r="E49" s="374" t="s">
        <v>60</v>
      </c>
      <c r="F49" s="375"/>
      <c r="G49" s="375"/>
      <c r="H49" s="375"/>
      <c r="I49" s="375"/>
      <c r="J49" s="376"/>
      <c r="K49" s="17"/>
      <c r="L49" s="17"/>
      <c r="X49" s="17"/>
      <c r="Y49" s="17"/>
    </row>
    <row r="50" spans="1:52" ht="16" thickBot="1" x14ac:dyDescent="0.25">
      <c r="A50" s="17"/>
      <c r="B50" s="17"/>
      <c r="C50" s="17"/>
      <c r="D50" s="118"/>
      <c r="E50" s="353" t="s">
        <v>59</v>
      </c>
      <c r="F50" s="354"/>
      <c r="G50" s="353" t="s">
        <v>61</v>
      </c>
      <c r="H50" s="355"/>
      <c r="I50" s="354"/>
      <c r="J50" s="122" t="s">
        <v>10</v>
      </c>
      <c r="K50" s="119"/>
      <c r="L50" s="17"/>
      <c r="X50" s="17"/>
      <c r="Y50" s="17"/>
    </row>
    <row r="51" spans="1:52" x14ac:dyDescent="0.2">
      <c r="A51" s="17"/>
      <c r="B51" s="17"/>
      <c r="C51" s="17"/>
      <c r="D51" s="118"/>
      <c r="E51" s="362">
        <f>SUM(E38:F39)-E9</f>
        <v>0</v>
      </c>
      <c r="F51" s="363"/>
      <c r="G51" s="362">
        <f>SUM(G38:I39)-G9</f>
        <v>0</v>
      </c>
      <c r="H51" s="364"/>
      <c r="I51" s="363"/>
      <c r="J51" s="120">
        <f>SUM(J38:J39)-J9</f>
        <v>0</v>
      </c>
      <c r="K51" s="88"/>
      <c r="L51" s="17"/>
      <c r="X51" s="17"/>
      <c r="Y51" s="17"/>
    </row>
    <row r="52" spans="1:52" x14ac:dyDescent="0.2">
      <c r="A52" s="17"/>
      <c r="B52" s="17"/>
      <c r="C52" s="17"/>
      <c r="D52" s="118"/>
      <c r="E52" s="365" t="s">
        <v>48</v>
      </c>
      <c r="F52" s="366"/>
      <c r="G52" s="365" t="s">
        <v>48</v>
      </c>
      <c r="H52" s="367"/>
      <c r="I52" s="366"/>
      <c r="J52" s="272" t="s">
        <v>48</v>
      </c>
      <c r="K52" s="121"/>
      <c r="L52" s="17"/>
    </row>
    <row r="53" spans="1:52" ht="16" thickBot="1" x14ac:dyDescent="0.25">
      <c r="A53" s="17"/>
      <c r="B53" s="17"/>
      <c r="C53" s="17"/>
      <c r="D53" s="118"/>
      <c r="E53" s="356">
        <v>0</v>
      </c>
      <c r="F53" s="357"/>
      <c r="G53" s="356">
        <v>0</v>
      </c>
      <c r="H53" s="358"/>
      <c r="I53" s="357"/>
      <c r="J53" s="274">
        <v>0</v>
      </c>
      <c r="K53" s="121"/>
      <c r="L53" s="17"/>
    </row>
    <row r="54" spans="1:52" ht="15" customHeight="1" thickBot="1" x14ac:dyDescent="0.25">
      <c r="A54" s="17"/>
      <c r="B54" s="17"/>
      <c r="C54" s="17"/>
      <c r="D54" s="118"/>
      <c r="E54" s="359" t="s">
        <v>59</v>
      </c>
      <c r="F54" s="360"/>
      <c r="G54" s="359" t="s">
        <v>61</v>
      </c>
      <c r="H54" s="361"/>
      <c r="I54" s="360"/>
      <c r="J54" s="276" t="s">
        <v>10</v>
      </c>
      <c r="K54" s="17"/>
      <c r="L54" s="17"/>
      <c r="M54" s="17"/>
      <c r="N54" s="17"/>
    </row>
    <row r="55" spans="1:52" x14ac:dyDescent="0.2">
      <c r="A55" s="17"/>
      <c r="B55" s="17"/>
      <c r="C55" s="17"/>
      <c r="D55" s="118"/>
      <c r="E55" s="362">
        <f>SUM(E40:F46)-E10</f>
        <v>0</v>
      </c>
      <c r="F55" s="363"/>
      <c r="G55" s="362">
        <f>SUM(G40:I46)-G10</f>
        <v>0</v>
      </c>
      <c r="H55" s="364"/>
      <c r="I55" s="363"/>
      <c r="J55" s="120">
        <f>SUM(J40:J46)-J10</f>
        <v>0</v>
      </c>
      <c r="K55" s="119"/>
      <c r="L55" s="17"/>
      <c r="M55" s="17"/>
      <c r="N55" s="17"/>
    </row>
    <row r="56" spans="1:52" x14ac:dyDescent="0.2">
      <c r="A56" s="17"/>
      <c r="B56" s="17"/>
      <c r="C56" s="17"/>
      <c r="D56" s="118"/>
      <c r="E56" s="365" t="s">
        <v>48</v>
      </c>
      <c r="F56" s="366"/>
      <c r="G56" s="365" t="s">
        <v>48</v>
      </c>
      <c r="H56" s="367"/>
      <c r="I56" s="366"/>
      <c r="J56" s="272" t="s">
        <v>48</v>
      </c>
      <c r="K56" s="121"/>
      <c r="L56" s="17"/>
      <c r="M56" s="17"/>
      <c r="N56" s="17"/>
      <c r="AZ56" s="11"/>
    </row>
    <row r="57" spans="1:52" ht="16" thickBot="1" x14ac:dyDescent="0.25">
      <c r="A57" s="17"/>
      <c r="B57" s="17"/>
      <c r="C57" s="17"/>
      <c r="D57" s="118"/>
      <c r="E57" s="356">
        <v>0</v>
      </c>
      <c r="F57" s="357"/>
      <c r="G57" s="356">
        <v>0</v>
      </c>
      <c r="H57" s="358"/>
      <c r="I57" s="357"/>
      <c r="J57" s="274">
        <v>0</v>
      </c>
      <c r="K57" s="121"/>
      <c r="L57" s="17"/>
      <c r="M57" s="17"/>
      <c r="N57" s="17"/>
      <c r="AZ57" s="11"/>
    </row>
    <row r="58" spans="1:52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AZ58" s="11"/>
    </row>
    <row r="59" spans="1:52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AZ59" s="11"/>
    </row>
    <row r="60" spans="1:52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AZ60" s="8"/>
    </row>
    <row r="61" spans="1:52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AZ61" s="8"/>
    </row>
    <row r="62" spans="1:52" x14ac:dyDescent="0.2">
      <c r="AZ62" s="8"/>
    </row>
    <row r="63" spans="1:52" x14ac:dyDescent="0.2">
      <c r="AY63" s="10"/>
    </row>
    <row r="86" spans="2:10" x14ac:dyDescent="0.2">
      <c r="D86" s="3"/>
    </row>
    <row r="87" spans="2:10" x14ac:dyDescent="0.2">
      <c r="D87" s="5"/>
    </row>
    <row r="88" spans="2:10" x14ac:dyDescent="0.2">
      <c r="D88" s="6"/>
    </row>
    <row r="89" spans="2:10" x14ac:dyDescent="0.2">
      <c r="D89" s="6"/>
    </row>
    <row r="90" spans="2:10" x14ac:dyDescent="0.2">
      <c r="D90" s="6"/>
    </row>
    <row r="95" spans="2:10" x14ac:dyDescent="0.2">
      <c r="B95" s="4"/>
      <c r="C95" s="4"/>
      <c r="D95" s="4"/>
      <c r="E95" s="4"/>
      <c r="F95" s="4"/>
      <c r="G95" s="4"/>
      <c r="H95" s="4"/>
      <c r="I95" s="4"/>
      <c r="J95" s="4"/>
    </row>
    <row r="96" spans="2:10" x14ac:dyDescent="0.2">
      <c r="B96" s="4"/>
      <c r="C96" s="4"/>
      <c r="D96" s="4"/>
      <c r="E96" s="4"/>
      <c r="F96" s="4"/>
      <c r="G96" s="4"/>
      <c r="H96" s="4"/>
      <c r="I96" s="4"/>
      <c r="J96" s="4"/>
    </row>
    <row r="97" spans="2:10" x14ac:dyDescent="0.2">
      <c r="B97" s="4"/>
      <c r="C97" s="4"/>
      <c r="D97" s="4"/>
      <c r="E97" s="4"/>
      <c r="F97" s="4"/>
      <c r="G97" s="4"/>
      <c r="H97" s="4"/>
      <c r="I97" s="4"/>
      <c r="J97" s="4"/>
    </row>
    <row r="98" spans="2:10" x14ac:dyDescent="0.2">
      <c r="B98" s="4"/>
      <c r="C98" s="4"/>
      <c r="D98" s="4"/>
      <c r="E98" s="4"/>
      <c r="F98" s="4"/>
      <c r="G98" s="4"/>
      <c r="H98" s="4"/>
      <c r="I98" s="4"/>
      <c r="J98" s="4"/>
    </row>
    <row r="99" spans="2:10" x14ac:dyDescent="0.2">
      <c r="B99" s="4"/>
      <c r="C99" s="5"/>
      <c r="D99" s="5"/>
      <c r="E99" s="5"/>
      <c r="F99" s="5"/>
      <c r="G99" s="5"/>
      <c r="H99" s="5"/>
      <c r="I99" s="5"/>
      <c r="J99" s="5"/>
    </row>
    <row r="100" spans="2:10" x14ac:dyDescent="0.2">
      <c r="B100" s="4"/>
      <c r="C100" s="2"/>
      <c r="D100" s="6"/>
      <c r="E100" s="6"/>
      <c r="F100" s="7"/>
      <c r="G100" s="6"/>
      <c r="H100" s="4"/>
      <c r="I100" s="4"/>
      <c r="J100" s="4"/>
    </row>
    <row r="101" spans="2:10" x14ac:dyDescent="0.2">
      <c r="B101" s="4"/>
      <c r="C101" s="2"/>
      <c r="D101" s="4"/>
      <c r="E101" s="4"/>
      <c r="F101" s="7"/>
      <c r="G101" s="6"/>
      <c r="H101" s="4"/>
      <c r="I101" s="4"/>
      <c r="J101" s="4"/>
    </row>
    <row r="102" spans="2:10" x14ac:dyDescent="0.2">
      <c r="B102" s="4"/>
      <c r="C102" s="4"/>
      <c r="D102" s="4"/>
      <c r="E102" s="4"/>
      <c r="F102" s="4"/>
      <c r="G102" s="4"/>
      <c r="H102" s="6"/>
      <c r="I102" s="4"/>
      <c r="J102" s="4"/>
    </row>
    <row r="103" spans="2:10" x14ac:dyDescent="0.2">
      <c r="B103" s="4"/>
      <c r="C103" s="2"/>
      <c r="D103" s="6"/>
      <c r="E103" s="6"/>
      <c r="F103" s="7"/>
      <c r="G103" s="6"/>
      <c r="H103" s="4"/>
      <c r="I103" s="4"/>
      <c r="J103" s="4"/>
    </row>
    <row r="104" spans="2:10" x14ac:dyDescent="0.2">
      <c r="B104" s="4"/>
      <c r="C104" s="2"/>
      <c r="D104" s="4"/>
      <c r="E104" s="4"/>
      <c r="F104" s="7"/>
      <c r="G104" s="6"/>
      <c r="H104" s="4"/>
      <c r="I104" s="4"/>
      <c r="J104" s="4"/>
    </row>
    <row r="105" spans="2:10" x14ac:dyDescent="0.2"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37">
    <mergeCell ref="M6:O6"/>
    <mergeCell ref="E57:F57"/>
    <mergeCell ref="G57:I57"/>
    <mergeCell ref="E53:F53"/>
    <mergeCell ref="G53:I53"/>
    <mergeCell ref="E54:F54"/>
    <mergeCell ref="G54:I54"/>
    <mergeCell ref="E55:F55"/>
    <mergeCell ref="G55:I55"/>
    <mergeCell ref="E51:F51"/>
    <mergeCell ref="G51:I51"/>
    <mergeCell ref="E52:F52"/>
    <mergeCell ref="G52:I52"/>
    <mergeCell ref="E56:F56"/>
    <mergeCell ref="G56:I56"/>
    <mergeCell ref="M30:O30"/>
    <mergeCell ref="P35:X35"/>
    <mergeCell ref="E36:K36"/>
    <mergeCell ref="P36:S36"/>
    <mergeCell ref="U36:X36"/>
    <mergeCell ref="E50:F50"/>
    <mergeCell ref="G50:I50"/>
    <mergeCell ref="E49:J49"/>
    <mergeCell ref="M32:O32"/>
    <mergeCell ref="C10:D10"/>
    <mergeCell ref="E10:F10"/>
    <mergeCell ref="G10:I10"/>
    <mergeCell ref="E12:K12"/>
    <mergeCell ref="M12:O12"/>
    <mergeCell ref="C24:C28"/>
    <mergeCell ref="M26:O26"/>
    <mergeCell ref="M29:O29"/>
    <mergeCell ref="E6:K6"/>
    <mergeCell ref="C8:D8"/>
    <mergeCell ref="C9:D9"/>
    <mergeCell ref="E9:F9"/>
    <mergeCell ref="G9:I9"/>
  </mergeCells>
  <pageMargins left="0.25" right="0.25" top="0.75" bottom="0.75" header="0.3" footer="0.3"/>
  <pageSetup scale="4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Z105"/>
  <sheetViews>
    <sheetView topLeftCell="C4" zoomScale="85" zoomScaleNormal="85" workbookViewId="0">
      <selection activeCell="M6" sqref="M6:O6"/>
    </sheetView>
  </sheetViews>
  <sheetFormatPr baseColWidth="10" defaultColWidth="8.83203125" defaultRowHeight="15" x14ac:dyDescent="0.2"/>
  <cols>
    <col min="1" max="1" width="13.5" bestFit="1" customWidth="1"/>
    <col min="2" max="2" width="18.83203125" bestFit="1" customWidth="1"/>
    <col min="3" max="3" width="20.5" bestFit="1" customWidth="1"/>
    <col min="4" max="4" width="17.83203125" customWidth="1"/>
    <col min="5" max="5" width="19.5" bestFit="1" customWidth="1"/>
    <col min="6" max="8" width="13.5" bestFit="1" customWidth="1"/>
    <col min="9" max="9" width="21.1640625" bestFit="1" customWidth="1"/>
    <col min="10" max="10" width="13.5" bestFit="1" customWidth="1"/>
    <col min="11" max="11" width="11.5" bestFit="1" customWidth="1"/>
    <col min="12" max="12" width="15.1640625" bestFit="1" customWidth="1"/>
    <col min="13" max="13" width="18.6640625" bestFit="1" customWidth="1"/>
    <col min="14" max="14" width="32.5" bestFit="1" customWidth="1"/>
    <col min="15" max="15" width="22.33203125" customWidth="1"/>
    <col min="16" max="16" width="17.83203125" bestFit="1" customWidth="1"/>
    <col min="17" max="17" width="14.5" bestFit="1" customWidth="1"/>
    <col min="18" max="18" width="3" bestFit="1" customWidth="1"/>
    <col min="19" max="19" width="6.1640625" customWidth="1"/>
    <col min="20" max="20" width="14.5" bestFit="1" customWidth="1"/>
    <col min="21" max="21" width="15.5" bestFit="1" customWidth="1"/>
    <col min="22" max="22" width="8.5" bestFit="1" customWidth="1"/>
    <col min="23" max="23" width="2.1640625" bestFit="1" customWidth="1"/>
    <col min="24" max="24" width="4.5" bestFit="1" customWidth="1"/>
    <col min="25" max="25" width="8.5" customWidth="1"/>
    <col min="26" max="26" width="4" customWidth="1"/>
    <col min="27" max="27" width="11.5" customWidth="1"/>
    <col min="28" max="28" width="3.83203125" customWidth="1"/>
    <col min="29" max="29" width="15.5" bestFit="1" customWidth="1"/>
    <col min="30" max="30" width="10" bestFit="1" customWidth="1"/>
    <col min="31" max="31" width="2.1640625" bestFit="1" customWidth="1"/>
    <col min="32" max="32" width="10.5" bestFit="1" customWidth="1"/>
    <col min="33" max="33" width="4" customWidth="1"/>
    <col min="34" max="34" width="15.5" bestFit="1" customWidth="1"/>
    <col min="35" max="35" width="9.5" bestFit="1" customWidth="1"/>
    <col min="36" max="36" width="2.1640625" bestFit="1" customWidth="1"/>
    <col min="46" max="47" width="8.83203125" bestFit="1" customWidth="1"/>
    <col min="48" max="48" width="11.83203125" bestFit="1" customWidth="1"/>
    <col min="49" max="53" width="8.83203125" bestFit="1" customWidth="1"/>
    <col min="54" max="54" width="11.83203125" bestFit="1" customWidth="1"/>
    <col min="55" max="55" width="10.83203125" bestFit="1" customWidth="1"/>
    <col min="56" max="59" width="8.83203125" bestFit="1" customWidth="1"/>
    <col min="60" max="61" width="10.83203125" bestFit="1" customWidth="1"/>
  </cols>
  <sheetData>
    <row r="1" spans="1:32" ht="19" x14ac:dyDescent="0.25">
      <c r="A1" s="17"/>
      <c r="B1" s="76" t="s">
        <v>33</v>
      </c>
      <c r="C1" s="77"/>
      <c r="D1" s="77"/>
      <c r="E1" s="77"/>
      <c r="F1" s="77"/>
      <c r="G1" s="77"/>
      <c r="H1" s="77"/>
      <c r="I1" s="77"/>
      <c r="J1" s="78"/>
      <c r="K1" s="79"/>
      <c r="L1" s="17"/>
      <c r="P1" s="21"/>
      <c r="Q1" s="17"/>
      <c r="R1" s="17"/>
      <c r="S1" s="17"/>
      <c r="T1" s="17"/>
      <c r="U1" s="17"/>
      <c r="V1" s="17"/>
      <c r="W1" s="17"/>
      <c r="X1" s="17"/>
      <c r="Y1" s="17"/>
    </row>
    <row r="2" spans="1:32" x14ac:dyDescent="0.2">
      <c r="A2" s="17"/>
      <c r="B2" s="80" t="s">
        <v>0</v>
      </c>
      <c r="C2" s="149" t="s">
        <v>1</v>
      </c>
      <c r="D2" s="81" t="s">
        <v>44</v>
      </c>
      <c r="E2" s="148" t="s">
        <v>53</v>
      </c>
      <c r="F2" s="146"/>
      <c r="G2" s="21"/>
      <c r="J2" s="21"/>
      <c r="K2" s="82"/>
      <c r="L2" s="17"/>
      <c r="M2" s="21"/>
      <c r="N2" s="21"/>
      <c r="O2" s="21"/>
      <c r="P2" s="21"/>
      <c r="Q2" s="17"/>
      <c r="R2" s="17"/>
      <c r="S2" s="17"/>
      <c r="T2" s="17"/>
      <c r="U2" s="17"/>
      <c r="V2" s="118"/>
      <c r="W2" s="118"/>
      <c r="X2" s="118"/>
      <c r="Y2" s="118"/>
      <c r="Z2" s="4"/>
      <c r="AA2" s="4"/>
      <c r="AB2" s="4"/>
      <c r="AC2" s="4"/>
      <c r="AD2" s="4"/>
      <c r="AE2" s="4"/>
      <c r="AF2" s="4"/>
    </row>
    <row r="3" spans="1:32" ht="16" thickBot="1" x14ac:dyDescent="0.25">
      <c r="A3" s="17"/>
      <c r="B3" s="172" t="s">
        <v>2</v>
      </c>
      <c r="C3" s="174">
        <v>1.6500000000000001E-2</v>
      </c>
      <c r="D3" s="177">
        <v>530000</v>
      </c>
      <c r="E3" s="177">
        <f>1/C3</f>
        <v>60.606060606060602</v>
      </c>
      <c r="F3" s="147"/>
      <c r="G3" s="21"/>
      <c r="H3" s="21"/>
      <c r="K3" s="82"/>
      <c r="L3" s="17"/>
      <c r="M3" s="21"/>
      <c r="N3" s="17"/>
      <c r="O3" s="21"/>
      <c r="P3" s="21"/>
      <c r="Q3" s="17"/>
      <c r="R3" s="17"/>
      <c r="S3" s="17"/>
      <c r="T3" s="17"/>
      <c r="U3" s="17"/>
      <c r="V3" s="118"/>
      <c r="W3" s="118"/>
      <c r="X3" s="118"/>
      <c r="Y3" s="118"/>
      <c r="Z3" s="4"/>
      <c r="AA3" s="4"/>
      <c r="AB3" s="4"/>
      <c r="AC3" s="4"/>
      <c r="AD3" s="4"/>
      <c r="AE3" s="4"/>
      <c r="AF3" s="4"/>
    </row>
    <row r="4" spans="1:32" ht="20" thickBot="1" x14ac:dyDescent="0.3">
      <c r="A4" s="17"/>
      <c r="B4" s="173" t="s">
        <v>3</v>
      </c>
      <c r="C4" s="175">
        <v>2.1999999999999999E-2</v>
      </c>
      <c r="D4" s="176">
        <v>920000</v>
      </c>
      <c r="E4" s="176">
        <f>1/C4</f>
        <v>45.45454545454546</v>
      </c>
      <c r="F4" s="147"/>
      <c r="G4" s="83"/>
      <c r="H4" s="155" t="s">
        <v>4</v>
      </c>
      <c r="I4" s="156">
        <v>3300000000</v>
      </c>
      <c r="J4" s="21"/>
      <c r="K4" s="82"/>
      <c r="L4" s="17"/>
      <c r="M4" s="21"/>
      <c r="N4" s="21"/>
      <c r="O4" s="21"/>
      <c r="P4" s="21"/>
      <c r="Q4" s="17"/>
      <c r="R4" s="17"/>
      <c r="S4" s="17"/>
      <c r="T4" s="17"/>
      <c r="U4" s="17"/>
      <c r="V4" s="118"/>
      <c r="W4" s="135"/>
      <c r="X4" s="118"/>
      <c r="Y4" s="118"/>
      <c r="Z4" s="118"/>
      <c r="AA4" s="118"/>
      <c r="AB4" s="118"/>
      <c r="AC4" s="118"/>
      <c r="AD4" s="118"/>
      <c r="AE4" s="4"/>
      <c r="AF4" s="4"/>
    </row>
    <row r="5" spans="1:32" ht="16" thickBot="1" x14ac:dyDescent="0.25">
      <c r="A5" s="17"/>
      <c r="B5" s="84"/>
      <c r="C5" s="21"/>
      <c r="D5" s="21"/>
      <c r="E5" s="21"/>
      <c r="F5" s="21"/>
      <c r="G5" s="21"/>
      <c r="H5" s="21"/>
      <c r="I5" s="21"/>
      <c r="J5" s="21"/>
      <c r="K5" s="82"/>
      <c r="L5" s="17"/>
      <c r="M5" s="21"/>
      <c r="N5" s="21"/>
      <c r="O5" s="21"/>
      <c r="P5" s="21"/>
      <c r="Q5" s="17"/>
      <c r="R5" s="17"/>
      <c r="S5" s="17"/>
      <c r="T5" s="17"/>
      <c r="U5" s="17"/>
      <c r="V5" s="118"/>
      <c r="W5" s="136"/>
      <c r="X5" s="118"/>
      <c r="Y5" s="118"/>
      <c r="Z5" s="118"/>
      <c r="AA5" s="118"/>
      <c r="AB5" s="118"/>
      <c r="AC5" s="118"/>
      <c r="AD5" s="118"/>
      <c r="AE5" s="4"/>
      <c r="AF5" s="4"/>
    </row>
    <row r="6" spans="1:32" ht="27" thickBot="1" x14ac:dyDescent="0.35">
      <c r="A6" s="85"/>
      <c r="B6" s="84"/>
      <c r="C6" s="21"/>
      <c r="D6" s="21"/>
      <c r="E6" s="380" t="s">
        <v>42</v>
      </c>
      <c r="F6" s="381"/>
      <c r="G6" s="381"/>
      <c r="H6" s="381"/>
      <c r="I6" s="381"/>
      <c r="J6" s="381"/>
      <c r="K6" s="382"/>
      <c r="L6" s="17"/>
      <c r="M6" s="338" t="s">
        <v>320</v>
      </c>
      <c r="N6" s="339"/>
      <c r="O6" s="340"/>
      <c r="P6" s="21"/>
      <c r="Q6" s="17"/>
      <c r="R6" s="17"/>
      <c r="S6" s="17"/>
      <c r="T6" s="17"/>
      <c r="U6" s="17"/>
      <c r="V6" s="118"/>
      <c r="W6" s="136"/>
      <c r="X6" s="118"/>
      <c r="Y6" s="118"/>
      <c r="Z6" s="118"/>
      <c r="AA6" s="118"/>
      <c r="AB6" s="118"/>
      <c r="AC6" s="118"/>
      <c r="AD6" s="118"/>
      <c r="AE6" s="4"/>
      <c r="AF6" s="4"/>
    </row>
    <row r="7" spans="1:32" ht="16" thickBot="1" x14ac:dyDescent="0.25">
      <c r="A7" s="85"/>
      <c r="B7" s="86"/>
      <c r="C7" s="21"/>
      <c r="D7" s="21"/>
      <c r="E7" s="150" t="s">
        <v>5</v>
      </c>
      <c r="F7" s="151" t="s">
        <v>6</v>
      </c>
      <c r="G7" s="25" t="s">
        <v>7</v>
      </c>
      <c r="H7" s="26" t="s">
        <v>8</v>
      </c>
      <c r="I7" s="27" t="s">
        <v>9</v>
      </c>
      <c r="J7" s="216" t="s">
        <v>10</v>
      </c>
      <c r="K7" s="152" t="s">
        <v>11</v>
      </c>
      <c r="L7" s="17"/>
      <c r="M7" s="21"/>
      <c r="N7" s="21"/>
      <c r="O7" s="21"/>
      <c r="P7" s="21"/>
      <c r="Q7" s="17"/>
      <c r="R7" s="17"/>
      <c r="S7" s="17"/>
      <c r="T7" s="17"/>
      <c r="U7" s="17"/>
      <c r="V7" s="118"/>
      <c r="W7" s="137"/>
      <c r="X7" s="138"/>
      <c r="Y7" s="118"/>
      <c r="Z7" s="118"/>
      <c r="AA7" s="118"/>
      <c r="AB7" s="118"/>
      <c r="AC7" s="118"/>
      <c r="AD7" s="118"/>
      <c r="AE7" s="4"/>
      <c r="AF7" s="4"/>
    </row>
    <row r="8" spans="1:32" x14ac:dyDescent="0.2">
      <c r="A8" s="85"/>
      <c r="B8" s="87"/>
      <c r="C8" s="383" t="s">
        <v>35</v>
      </c>
      <c r="D8" s="384"/>
      <c r="E8" s="264">
        <v>1.44</v>
      </c>
      <c r="F8" s="265">
        <v>1.44</v>
      </c>
      <c r="G8" s="264">
        <v>6.13E-2</v>
      </c>
      <c r="H8" s="215">
        <v>6.13E-2</v>
      </c>
      <c r="I8" s="265">
        <v>6.13E-2</v>
      </c>
      <c r="J8" s="266">
        <v>2.8500000000000001E-2</v>
      </c>
      <c r="K8" s="153">
        <v>7.0000000000000001E-3</v>
      </c>
      <c r="L8" s="17"/>
      <c r="M8" s="21"/>
      <c r="N8" s="21"/>
      <c r="O8" s="21"/>
      <c r="P8" s="21"/>
      <c r="Q8" s="17"/>
      <c r="R8" s="17"/>
      <c r="S8" s="17"/>
      <c r="T8" s="17"/>
      <c r="U8" s="17"/>
      <c r="V8" s="118"/>
      <c r="W8" s="118"/>
      <c r="X8" s="118"/>
      <c r="Y8" s="118"/>
      <c r="Z8" s="4"/>
      <c r="AA8" s="4"/>
      <c r="AB8" s="4"/>
      <c r="AC8" s="4"/>
      <c r="AD8" s="4"/>
      <c r="AE8" s="4"/>
      <c r="AF8" s="4"/>
    </row>
    <row r="9" spans="1:32" x14ac:dyDescent="0.2">
      <c r="A9" s="85"/>
      <c r="B9" s="86"/>
      <c r="C9" s="385" t="s">
        <v>63</v>
      </c>
      <c r="D9" s="386"/>
      <c r="E9" s="398">
        <v>53000</v>
      </c>
      <c r="F9" s="399"/>
      <c r="G9" s="402">
        <v>79500</v>
      </c>
      <c r="H9" s="403"/>
      <c r="I9" s="404"/>
      <c r="J9" s="266">
        <v>79500</v>
      </c>
      <c r="K9" s="153">
        <v>0</v>
      </c>
      <c r="L9" s="17"/>
      <c r="M9" s="21"/>
      <c r="N9" s="21"/>
      <c r="O9" s="21"/>
      <c r="P9" s="21"/>
      <c r="Q9" s="17"/>
      <c r="R9" s="17"/>
      <c r="S9" s="17"/>
      <c r="T9" s="17"/>
      <c r="U9" s="17"/>
      <c r="V9" s="118"/>
      <c r="W9" s="118"/>
      <c r="X9" s="118"/>
      <c r="Y9" s="118"/>
      <c r="Z9" s="4"/>
      <c r="AA9" s="4"/>
      <c r="AB9" s="4"/>
      <c r="AC9" s="4"/>
      <c r="AD9" s="4"/>
      <c r="AE9" s="4"/>
      <c r="AF9" s="4"/>
    </row>
    <row r="10" spans="1:32" ht="16" thickBot="1" x14ac:dyDescent="0.25">
      <c r="A10" s="85"/>
      <c r="B10" s="84"/>
      <c r="C10" s="387" t="s">
        <v>64</v>
      </c>
      <c r="D10" s="388"/>
      <c r="E10" s="400">
        <v>46000</v>
      </c>
      <c r="F10" s="401"/>
      <c r="G10" s="368">
        <v>92000</v>
      </c>
      <c r="H10" s="369"/>
      <c r="I10" s="370"/>
      <c r="J10" s="256">
        <v>138000</v>
      </c>
      <c r="K10" s="154">
        <v>0</v>
      </c>
      <c r="L10" s="17"/>
      <c r="M10" s="21"/>
      <c r="N10" s="17"/>
      <c r="O10" s="21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32" ht="16" thickBot="1" x14ac:dyDescent="0.25">
      <c r="A11" s="85"/>
      <c r="B11" s="84"/>
      <c r="C11" s="21"/>
      <c r="D11" s="21"/>
      <c r="E11" s="21"/>
      <c r="F11" s="21"/>
      <c r="G11" s="21"/>
      <c r="H11" s="21"/>
      <c r="I11" s="21"/>
      <c r="J11" s="21"/>
      <c r="K11" s="82"/>
      <c r="L11" s="17"/>
      <c r="M11" s="21"/>
      <c r="N11" s="88"/>
      <c r="O11" s="21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32" ht="20" thickBot="1" x14ac:dyDescent="0.3">
      <c r="A12" s="85"/>
      <c r="B12" s="84"/>
      <c r="C12" s="21"/>
      <c r="D12" s="21"/>
      <c r="E12" s="389" t="s">
        <v>39</v>
      </c>
      <c r="F12" s="390"/>
      <c r="G12" s="390"/>
      <c r="H12" s="390"/>
      <c r="I12" s="390"/>
      <c r="J12" s="390"/>
      <c r="K12" s="391"/>
      <c r="M12" s="374" t="s">
        <v>58</v>
      </c>
      <c r="N12" s="375"/>
      <c r="O12" s="376"/>
      <c r="P12" s="21"/>
      <c r="Q12" s="17"/>
      <c r="R12" s="17"/>
      <c r="S12" s="17"/>
      <c r="T12" s="17"/>
      <c r="X12" s="17"/>
      <c r="Y12" s="17"/>
    </row>
    <row r="13" spans="1:32" ht="30" customHeight="1" x14ac:dyDescent="0.2">
      <c r="A13" s="85"/>
      <c r="B13" s="89" t="s">
        <v>43</v>
      </c>
      <c r="C13" s="81" t="s">
        <v>14</v>
      </c>
      <c r="D13" s="90" t="s">
        <v>15</v>
      </c>
      <c r="E13" s="165" t="s">
        <v>5</v>
      </c>
      <c r="F13" s="163" t="s">
        <v>6</v>
      </c>
      <c r="G13" s="164" t="s">
        <v>7</v>
      </c>
      <c r="H13" s="163" t="s">
        <v>8</v>
      </c>
      <c r="I13" s="163" t="s">
        <v>9</v>
      </c>
      <c r="J13" s="163" t="s">
        <v>10</v>
      </c>
      <c r="K13" s="166" t="s">
        <v>11</v>
      </c>
      <c r="M13" s="157"/>
      <c r="N13" s="162" t="s">
        <v>56</v>
      </c>
      <c r="O13" s="161" t="s">
        <v>57</v>
      </c>
      <c r="P13" s="21"/>
      <c r="Q13" s="17"/>
      <c r="R13" s="17"/>
      <c r="S13" s="17"/>
      <c r="T13" s="17"/>
      <c r="X13" s="17"/>
      <c r="Y13" s="17"/>
    </row>
    <row r="14" spans="1:32" x14ac:dyDescent="0.2">
      <c r="A14" s="85"/>
      <c r="B14" s="36" t="s">
        <v>16</v>
      </c>
      <c r="C14" s="37">
        <v>2508</v>
      </c>
      <c r="D14" s="231">
        <v>1818</v>
      </c>
      <c r="E14" s="232">
        <f>64400</f>
        <v>64400</v>
      </c>
      <c r="F14" s="233">
        <f>70840</f>
        <v>70840</v>
      </c>
      <c r="G14" s="231">
        <f>6182.4</f>
        <v>6182.4</v>
      </c>
      <c r="H14" s="233">
        <f>5216.4</f>
        <v>5216.3999999999996</v>
      </c>
      <c r="I14" s="233">
        <f>4830</f>
        <v>4830</v>
      </c>
      <c r="J14" s="233">
        <f>4250.4</f>
        <v>4250.3999999999996</v>
      </c>
      <c r="K14" s="234">
        <f>3091.2</f>
        <v>3091.2</v>
      </c>
      <c r="M14" s="129" t="s">
        <v>16</v>
      </c>
      <c r="N14" s="132">
        <f t="shared" ref="N14:N22" si="0">M38*D14</f>
        <v>963540000</v>
      </c>
      <c r="O14" s="133">
        <f>SUMPRODUCT(E14:K14,E38:K38)*C3</f>
        <v>84448541.100000009</v>
      </c>
      <c r="P14" s="21"/>
      <c r="Q14" s="17"/>
      <c r="R14" s="88"/>
      <c r="S14" s="17"/>
      <c r="T14" s="17"/>
      <c r="U14" s="17"/>
      <c r="V14" s="17"/>
      <c r="W14" s="17"/>
      <c r="X14" s="17"/>
      <c r="Y14" s="17"/>
    </row>
    <row r="15" spans="1:32" x14ac:dyDescent="0.2">
      <c r="A15" s="85"/>
      <c r="B15" s="42" t="s">
        <v>17</v>
      </c>
      <c r="C15" s="43">
        <v>1553</v>
      </c>
      <c r="D15" s="235">
        <v>1996.4</v>
      </c>
      <c r="E15" s="236">
        <f>115920</f>
        <v>115920</v>
      </c>
      <c r="F15" s="237">
        <f>127512</f>
        <v>127512</v>
      </c>
      <c r="G15" s="235">
        <f>7084</f>
        <v>7084</v>
      </c>
      <c r="H15" s="237">
        <f>5796</f>
        <v>5796</v>
      </c>
      <c r="I15" s="237">
        <f>5667.2</f>
        <v>5667.2</v>
      </c>
      <c r="J15" s="237">
        <f>5796</f>
        <v>5796</v>
      </c>
      <c r="K15" s="238">
        <f>2704.8</f>
        <v>2704.8</v>
      </c>
      <c r="M15" s="130" t="s">
        <v>17</v>
      </c>
      <c r="N15" s="132">
        <f t="shared" si="0"/>
        <v>0</v>
      </c>
      <c r="O15" s="133">
        <f>SUMPRODUCT(E15:K15,E39:K39)*C3</f>
        <v>0</v>
      </c>
      <c r="P15" s="21"/>
      <c r="Q15" s="17"/>
      <c r="R15" s="88"/>
      <c r="S15" s="17"/>
      <c r="T15" s="17"/>
      <c r="U15" s="17"/>
      <c r="V15" s="17"/>
      <c r="W15" s="17"/>
      <c r="X15" s="17"/>
      <c r="Y15" s="17"/>
    </row>
    <row r="16" spans="1:32" x14ac:dyDescent="0.2">
      <c r="A16" s="85"/>
      <c r="B16" s="48" t="s">
        <v>18</v>
      </c>
      <c r="C16" s="49">
        <v>2508</v>
      </c>
      <c r="D16" s="239">
        <v>1983.4</v>
      </c>
      <c r="E16" s="240">
        <f>64400</f>
        <v>64400</v>
      </c>
      <c r="F16" s="241">
        <f>70840</f>
        <v>70840</v>
      </c>
      <c r="G16" s="239">
        <f>6182.4</f>
        <v>6182.4</v>
      </c>
      <c r="H16" s="241">
        <f>5216.4</f>
        <v>5216.3999999999996</v>
      </c>
      <c r="I16" s="241">
        <f>4830</f>
        <v>4830</v>
      </c>
      <c r="J16" s="241">
        <f>4250.4</f>
        <v>4250.3999999999996</v>
      </c>
      <c r="K16" s="242">
        <f>3091.2</f>
        <v>3091.2</v>
      </c>
      <c r="M16" s="263" t="s">
        <v>18</v>
      </c>
      <c r="N16" s="132">
        <f t="shared" si="0"/>
        <v>625609978.20000005</v>
      </c>
      <c r="O16" s="133">
        <f t="shared" ref="O16:O22" si="1">SUMPRODUCT(E16:K16,E40:K40)*$C$4</f>
        <v>21451700.793599997</v>
      </c>
      <c r="P16" s="17"/>
      <c r="Q16" s="17"/>
      <c r="R16" s="17"/>
      <c r="S16" s="17"/>
      <c r="T16" s="88"/>
      <c r="U16" s="17"/>
      <c r="V16" s="17"/>
      <c r="W16" s="17"/>
      <c r="X16" s="17"/>
      <c r="Y16" s="17"/>
    </row>
    <row r="17" spans="1:39" x14ac:dyDescent="0.2">
      <c r="A17" s="85"/>
      <c r="B17" s="48" t="s">
        <v>19</v>
      </c>
      <c r="C17" s="49">
        <v>1553</v>
      </c>
      <c r="D17" s="239">
        <v>2254</v>
      </c>
      <c r="E17" s="240">
        <f>115920</f>
        <v>115920</v>
      </c>
      <c r="F17" s="241">
        <f>127512</f>
        <v>127512</v>
      </c>
      <c r="G17" s="239">
        <f>7084</f>
        <v>7084</v>
      </c>
      <c r="H17" s="241">
        <f>5796</f>
        <v>5796</v>
      </c>
      <c r="I17" s="241">
        <f>5667.2</f>
        <v>5667.2</v>
      </c>
      <c r="J17" s="241">
        <f>5796</f>
        <v>5796</v>
      </c>
      <c r="K17" s="243">
        <f>2704.8</f>
        <v>2704.8</v>
      </c>
      <c r="M17" s="263" t="s">
        <v>19</v>
      </c>
      <c r="N17" s="132">
        <f t="shared" si="0"/>
        <v>0</v>
      </c>
      <c r="O17" s="133">
        <f t="shared" si="1"/>
        <v>0</v>
      </c>
      <c r="P17" s="17"/>
      <c r="Q17" s="17"/>
      <c r="R17" s="17"/>
      <c r="S17" s="17"/>
      <c r="T17" s="88"/>
      <c r="U17" s="17"/>
      <c r="V17" s="17"/>
      <c r="W17" s="17"/>
      <c r="X17" s="17"/>
      <c r="Y17" s="17"/>
    </row>
    <row r="18" spans="1:39" x14ac:dyDescent="0.2">
      <c r="A18" s="85"/>
      <c r="B18" s="48" t="s">
        <v>20</v>
      </c>
      <c r="C18" s="49">
        <v>1380</v>
      </c>
      <c r="D18" s="239">
        <v>2582.4</v>
      </c>
      <c r="E18" s="240">
        <f>103040</f>
        <v>103040</v>
      </c>
      <c r="F18" s="241">
        <f>113344</f>
        <v>113344</v>
      </c>
      <c r="G18" s="239">
        <f>7084</f>
        <v>7084</v>
      </c>
      <c r="H18" s="241">
        <f>5796</f>
        <v>5796</v>
      </c>
      <c r="I18" s="241">
        <f>5667.2</f>
        <v>5667.2</v>
      </c>
      <c r="J18" s="241">
        <f>5796</f>
        <v>5796</v>
      </c>
      <c r="K18" s="242">
        <f>3284.4</f>
        <v>3284.4</v>
      </c>
      <c r="M18" s="263" t="s">
        <v>20</v>
      </c>
      <c r="N18" s="132">
        <f t="shared" si="0"/>
        <v>0</v>
      </c>
      <c r="O18" s="133">
        <f t="shared" si="1"/>
        <v>0</v>
      </c>
      <c r="P18" s="17"/>
      <c r="Q18" s="17"/>
      <c r="R18" s="17"/>
      <c r="S18" s="17"/>
      <c r="T18" s="88"/>
      <c r="U18" s="17"/>
      <c r="V18" s="17"/>
      <c r="W18" s="17"/>
      <c r="X18" s="17"/>
      <c r="Y18" s="17"/>
      <c r="AJ18" s="3"/>
      <c r="AK18" s="3"/>
      <c r="AL18" s="3"/>
      <c r="AM18" s="3"/>
    </row>
    <row r="19" spans="1:39" x14ac:dyDescent="0.2">
      <c r="A19" s="85"/>
      <c r="B19" s="48" t="s">
        <v>21</v>
      </c>
      <c r="C19" s="49">
        <v>2150</v>
      </c>
      <c r="D19" s="239">
        <v>1976.1</v>
      </c>
      <c r="E19" s="240">
        <f>64400</f>
        <v>64400</v>
      </c>
      <c r="F19" s="241">
        <f>70840</f>
        <v>70840</v>
      </c>
      <c r="G19" s="239">
        <f>6182.4</f>
        <v>6182.4</v>
      </c>
      <c r="H19" s="241">
        <f>5280.8</f>
        <v>5280.8</v>
      </c>
      <c r="I19" s="241">
        <f>5216.4</f>
        <v>5216.3999999999996</v>
      </c>
      <c r="J19" s="241">
        <f>4250.4</f>
        <v>4250.3999999999996</v>
      </c>
      <c r="K19" s="242">
        <f>3091.2</f>
        <v>3091.2</v>
      </c>
      <c r="M19" s="263" t="s">
        <v>21</v>
      </c>
      <c r="N19" s="132">
        <f t="shared" si="0"/>
        <v>799484609.69999993</v>
      </c>
      <c r="O19" s="133">
        <f t="shared" si="1"/>
        <v>91203167.686399996</v>
      </c>
      <c r="P19" s="17"/>
      <c r="Q19" s="21"/>
      <c r="R19" s="17"/>
      <c r="S19" s="17"/>
      <c r="T19" s="88"/>
      <c r="U19" s="17"/>
      <c r="V19" s="17"/>
      <c r="W19" s="17"/>
      <c r="X19" s="17"/>
      <c r="Y19" s="17"/>
      <c r="AJ19" s="3"/>
      <c r="AK19" s="3"/>
      <c r="AL19" s="3"/>
      <c r="AM19" s="3"/>
    </row>
    <row r="20" spans="1:39" x14ac:dyDescent="0.2">
      <c r="A20" s="85"/>
      <c r="B20" s="48" t="s">
        <v>22</v>
      </c>
      <c r="C20" s="55">
        <v>30</v>
      </c>
      <c r="D20" s="239">
        <v>2711.3</v>
      </c>
      <c r="E20" s="244">
        <v>0</v>
      </c>
      <c r="F20" s="245">
        <v>0</v>
      </c>
      <c r="G20" s="239">
        <f>9660</f>
        <v>9660</v>
      </c>
      <c r="H20" s="241">
        <f>9016</f>
        <v>9016</v>
      </c>
      <c r="I20" s="241">
        <f>8694</f>
        <v>8694</v>
      </c>
      <c r="J20" s="245">
        <v>0</v>
      </c>
      <c r="K20" s="246">
        <v>0</v>
      </c>
      <c r="M20" s="263" t="s">
        <v>22</v>
      </c>
      <c r="N20" s="132">
        <f t="shared" si="0"/>
        <v>0</v>
      </c>
      <c r="O20" s="133">
        <f t="shared" si="1"/>
        <v>0</v>
      </c>
      <c r="P20" s="17"/>
      <c r="Q20" s="21"/>
      <c r="R20" s="17"/>
      <c r="S20" s="17"/>
      <c r="T20" s="17"/>
      <c r="U20" s="17"/>
      <c r="V20" s="17"/>
      <c r="W20" s="17"/>
      <c r="X20" s="17"/>
      <c r="Y20" s="17"/>
      <c r="AJ20" s="3"/>
      <c r="AK20" s="3"/>
      <c r="AL20" s="3"/>
      <c r="AM20" s="3"/>
    </row>
    <row r="21" spans="1:39" x14ac:dyDescent="0.2">
      <c r="A21" s="85"/>
      <c r="B21" s="48" t="s">
        <v>24</v>
      </c>
      <c r="C21" s="55">
        <v>690</v>
      </c>
      <c r="D21" s="239">
        <v>2704.8</v>
      </c>
      <c r="E21" s="240">
        <f>135240</f>
        <v>135240</v>
      </c>
      <c r="F21" s="241">
        <f>148120</f>
        <v>148120</v>
      </c>
      <c r="G21" s="247">
        <v>0</v>
      </c>
      <c r="H21" s="245">
        <v>0</v>
      </c>
      <c r="I21" s="245">
        <v>0</v>
      </c>
      <c r="J21" s="245">
        <v>0</v>
      </c>
      <c r="K21" s="242">
        <f>3413.2</f>
        <v>3413.2</v>
      </c>
      <c r="M21" s="263" t="s">
        <v>24</v>
      </c>
      <c r="N21" s="132">
        <f t="shared" si="0"/>
        <v>0</v>
      </c>
      <c r="O21" s="133">
        <f t="shared" si="1"/>
        <v>0</v>
      </c>
      <c r="P21" s="17"/>
      <c r="Q21" s="21"/>
      <c r="R21" s="17"/>
      <c r="S21" s="17"/>
      <c r="T21" s="88"/>
      <c r="U21" s="17"/>
      <c r="V21" s="17"/>
      <c r="W21" s="17"/>
      <c r="X21" s="17"/>
      <c r="Y21" s="17"/>
      <c r="AJ21" s="3"/>
      <c r="AK21" s="3"/>
      <c r="AL21" s="3"/>
      <c r="AM21" s="3"/>
    </row>
    <row r="22" spans="1:39" ht="16" thickBot="1" x14ac:dyDescent="0.25">
      <c r="A22" s="85"/>
      <c r="B22" s="60" t="s">
        <v>25</v>
      </c>
      <c r="C22" s="61">
        <v>686</v>
      </c>
      <c r="D22" s="248">
        <v>2125.1999999999998</v>
      </c>
      <c r="E22" s="249">
        <f>103040</f>
        <v>103040</v>
      </c>
      <c r="F22" s="250">
        <f>112700</f>
        <v>112700</v>
      </c>
      <c r="G22" s="248">
        <f>7084</f>
        <v>7084</v>
      </c>
      <c r="H22" s="250">
        <f>5796</f>
        <v>5796</v>
      </c>
      <c r="I22" s="250">
        <f>5538.4</f>
        <v>5538.4</v>
      </c>
      <c r="J22" s="250">
        <f>5860.4</f>
        <v>5860.4</v>
      </c>
      <c r="K22" s="251">
        <f>2769.2</f>
        <v>2769.2</v>
      </c>
      <c r="M22" s="131" t="s">
        <v>25</v>
      </c>
      <c r="N22" s="134">
        <f t="shared" si="0"/>
        <v>425039999.99999994</v>
      </c>
      <c r="O22" s="209">
        <f t="shared" si="1"/>
        <v>22283353.8928</v>
      </c>
      <c r="P22" s="17"/>
      <c r="Q22" s="17"/>
      <c r="R22" s="17"/>
      <c r="S22" s="17"/>
      <c r="T22" s="88"/>
      <c r="U22" s="17"/>
      <c r="V22" s="17"/>
      <c r="W22" s="17"/>
      <c r="X22" s="17"/>
      <c r="Y22" s="17"/>
      <c r="AJ22" s="3"/>
      <c r="AK22" s="3"/>
      <c r="AL22" s="3"/>
      <c r="AM22" s="3"/>
    </row>
    <row r="23" spans="1:39" ht="22" thickBot="1" x14ac:dyDescent="0.3">
      <c r="A23" s="85"/>
      <c r="B23" s="17"/>
      <c r="C23" s="17"/>
      <c r="D23" s="17"/>
      <c r="E23" s="17"/>
      <c r="F23" s="17"/>
      <c r="G23" s="17"/>
      <c r="H23" s="17"/>
      <c r="I23" s="17"/>
      <c r="J23" s="17"/>
      <c r="K23" s="17"/>
      <c r="M23" s="213" t="s">
        <v>38</v>
      </c>
      <c r="N23" s="214">
        <f>SUM(N14:O22)</f>
        <v>3033061351.3727999</v>
      </c>
      <c r="O23" s="145"/>
      <c r="Q23" s="17"/>
      <c r="R23" s="17"/>
      <c r="S23" s="17"/>
      <c r="T23" s="17"/>
      <c r="U23" s="17"/>
      <c r="V23" s="17"/>
      <c r="W23" s="17"/>
      <c r="X23" s="17"/>
      <c r="Y23" s="17"/>
      <c r="AH23" s="1"/>
      <c r="AJ23" s="3"/>
      <c r="AK23" s="3"/>
      <c r="AL23" s="8"/>
      <c r="AM23" s="3"/>
    </row>
    <row r="24" spans="1:39" ht="15" customHeight="1" x14ac:dyDescent="0.2">
      <c r="A24" s="85"/>
      <c r="B24" s="17"/>
      <c r="C24" s="405" t="s">
        <v>329</v>
      </c>
      <c r="D24" s="30" t="s">
        <v>43</v>
      </c>
      <c r="E24" s="218" t="s">
        <v>5</v>
      </c>
      <c r="F24" s="225" t="s">
        <v>6</v>
      </c>
      <c r="G24" s="218" t="s">
        <v>7</v>
      </c>
      <c r="H24" s="225" t="s">
        <v>8</v>
      </c>
      <c r="I24" s="218" t="s">
        <v>9</v>
      </c>
      <c r="J24" s="218" t="s">
        <v>10</v>
      </c>
      <c r="K24" s="227" t="s">
        <v>11</v>
      </c>
      <c r="U24" s="17"/>
      <c r="V24" s="17"/>
      <c r="W24" s="17"/>
      <c r="X24" s="17"/>
      <c r="Y24" s="17"/>
      <c r="AH24" s="1"/>
      <c r="AJ24" s="3"/>
      <c r="AK24" s="3"/>
      <c r="AL24" s="10"/>
      <c r="AM24" s="3"/>
    </row>
    <row r="25" spans="1:39" ht="16" thickBot="1" x14ac:dyDescent="0.25">
      <c r="A25" s="85"/>
      <c r="B25" s="17"/>
      <c r="C25" s="406"/>
      <c r="D25" s="36" t="s">
        <v>16</v>
      </c>
      <c r="E25" s="226">
        <f t="shared" ref="E25:K25" si="2">$C$3*E8*$C$14</f>
        <v>59.59008</v>
      </c>
      <c r="F25" s="211">
        <f t="shared" si="2"/>
        <v>59.59008</v>
      </c>
      <c r="G25" s="226">
        <f t="shared" si="2"/>
        <v>2.5367166000000001</v>
      </c>
      <c r="H25" s="211">
        <f t="shared" si="2"/>
        <v>2.5367166000000001</v>
      </c>
      <c r="I25" s="226">
        <f t="shared" si="2"/>
        <v>2.5367166000000001</v>
      </c>
      <c r="J25" s="226">
        <f t="shared" si="2"/>
        <v>1.179387</v>
      </c>
      <c r="K25" s="125">
        <f t="shared" si="2"/>
        <v>0.28967399999999999</v>
      </c>
      <c r="S25" s="17"/>
      <c r="T25" s="17"/>
      <c r="U25" s="17"/>
      <c r="V25" s="17"/>
      <c r="W25" s="17"/>
      <c r="X25" s="17"/>
      <c r="Y25" s="17"/>
      <c r="AH25" s="1"/>
      <c r="AJ25" s="3"/>
      <c r="AK25" s="3"/>
      <c r="AL25" s="10"/>
      <c r="AM25" s="3"/>
    </row>
    <row r="26" spans="1:39" ht="20" thickBot="1" x14ac:dyDescent="0.3">
      <c r="A26" s="85"/>
      <c r="B26" s="17"/>
      <c r="C26" s="406"/>
      <c r="D26" s="42" t="s">
        <v>17</v>
      </c>
      <c r="E26" s="226">
        <f t="shared" ref="E26:K26" si="3">$C$3*E8*$C$15</f>
        <v>36.899279999999997</v>
      </c>
      <c r="F26" s="211">
        <f t="shared" si="3"/>
        <v>36.899279999999997</v>
      </c>
      <c r="G26" s="226">
        <f t="shared" si="3"/>
        <v>1.5707818500000001</v>
      </c>
      <c r="H26" s="211">
        <f t="shared" si="3"/>
        <v>1.5707818500000001</v>
      </c>
      <c r="I26" s="226">
        <f t="shared" si="3"/>
        <v>1.5707818500000001</v>
      </c>
      <c r="J26" s="226">
        <f t="shared" si="3"/>
        <v>0.73029825000000004</v>
      </c>
      <c r="K26" s="125">
        <f t="shared" si="3"/>
        <v>0.17937150000000002</v>
      </c>
      <c r="M26" s="374" t="s">
        <v>47</v>
      </c>
      <c r="N26" s="375"/>
      <c r="O26" s="376"/>
      <c r="S26" s="17"/>
      <c r="T26" s="17"/>
      <c r="U26" s="17"/>
      <c r="V26" s="17"/>
      <c r="W26" s="17"/>
      <c r="X26" s="17"/>
      <c r="Y26" s="17"/>
      <c r="AH26" s="1"/>
      <c r="AJ26" s="3"/>
      <c r="AK26" s="3"/>
      <c r="AL26" s="10"/>
      <c r="AM26" s="3"/>
    </row>
    <row r="27" spans="1:39" ht="16" thickBot="1" x14ac:dyDescent="0.25">
      <c r="A27" s="85"/>
      <c r="B27" s="17"/>
      <c r="C27" s="406"/>
      <c r="D27" s="48" t="s">
        <v>18</v>
      </c>
      <c r="E27" s="226">
        <f t="shared" ref="E27:K27" si="4">$C$4*E8*$C$16</f>
        <v>79.453440000000001</v>
      </c>
      <c r="F27" s="211">
        <f t="shared" si="4"/>
        <v>79.453440000000001</v>
      </c>
      <c r="G27" s="226">
        <f t="shared" si="4"/>
        <v>3.3822888</v>
      </c>
      <c r="H27" s="211">
        <f t="shared" si="4"/>
        <v>3.3822888</v>
      </c>
      <c r="I27" s="226">
        <f t="shared" si="4"/>
        <v>3.3822888</v>
      </c>
      <c r="J27" s="226">
        <f t="shared" si="4"/>
        <v>1.5725159999999998</v>
      </c>
      <c r="K27" s="125">
        <f t="shared" si="4"/>
        <v>0.38623200000000002</v>
      </c>
      <c r="M27" s="171">
        <f>N23-I4</f>
        <v>-266938648.62720013</v>
      </c>
      <c r="N27" s="258" t="s">
        <v>34</v>
      </c>
      <c r="O27" s="257">
        <v>0</v>
      </c>
      <c r="S27" s="17"/>
      <c r="T27" s="17"/>
      <c r="U27" s="17"/>
      <c r="V27" s="17"/>
      <c r="W27" s="17"/>
      <c r="X27" s="17"/>
      <c r="Y27" s="17"/>
      <c r="AJ27" s="3"/>
      <c r="AK27" s="3"/>
      <c r="AL27" s="10"/>
      <c r="AM27" s="3"/>
    </row>
    <row r="28" spans="1:39" ht="16" thickBot="1" x14ac:dyDescent="0.25">
      <c r="A28" s="85"/>
      <c r="B28" s="17"/>
      <c r="C28" s="407"/>
      <c r="D28" s="48" t="s">
        <v>19</v>
      </c>
      <c r="E28" s="222">
        <f t="shared" ref="E28:K28" si="5">$C$4*E8*$C$17</f>
        <v>49.199039999999997</v>
      </c>
      <c r="F28" s="262">
        <f t="shared" si="5"/>
        <v>49.199039999999997</v>
      </c>
      <c r="G28" s="222">
        <f t="shared" si="5"/>
        <v>2.0943757999999999</v>
      </c>
      <c r="H28" s="262">
        <f t="shared" si="5"/>
        <v>2.0943757999999999</v>
      </c>
      <c r="I28" s="222">
        <f t="shared" si="5"/>
        <v>2.0943757999999999</v>
      </c>
      <c r="J28" s="222">
        <f t="shared" si="5"/>
        <v>0.9737309999999999</v>
      </c>
      <c r="K28" s="261">
        <f t="shared" si="5"/>
        <v>0.23916200000000001</v>
      </c>
      <c r="L28" s="178"/>
      <c r="T28" s="17"/>
      <c r="U28" s="17"/>
      <c r="V28" s="17"/>
      <c r="W28" s="17"/>
      <c r="X28" s="118"/>
      <c r="Y28" s="118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0"/>
      <c r="AM28" s="3"/>
    </row>
    <row r="29" spans="1:39" ht="20" thickBot="1" x14ac:dyDescent="0.3">
      <c r="A29" s="85"/>
      <c r="B29" s="17"/>
      <c r="C29" s="17"/>
      <c r="D29" s="48" t="s">
        <v>20</v>
      </c>
      <c r="E29" s="222">
        <f>$C$4*E8*$C$18</f>
        <v>43.718400000000003</v>
      </c>
      <c r="F29" s="262">
        <f t="shared" ref="F29:K29" si="6">$C$4*F8*$C$18</f>
        <v>43.718400000000003</v>
      </c>
      <c r="G29" s="222">
        <f t="shared" si="6"/>
        <v>1.8610679999999999</v>
      </c>
      <c r="H29" s="262">
        <f t="shared" si="6"/>
        <v>1.8610679999999999</v>
      </c>
      <c r="I29" s="222">
        <f t="shared" si="6"/>
        <v>1.8610679999999999</v>
      </c>
      <c r="J29" s="222">
        <f t="shared" si="6"/>
        <v>0.86525999999999992</v>
      </c>
      <c r="K29" s="261">
        <f t="shared" si="6"/>
        <v>0.21252000000000001</v>
      </c>
      <c r="L29" s="178"/>
      <c r="M29" s="374" t="s">
        <v>45</v>
      </c>
      <c r="N29" s="375"/>
      <c r="O29" s="376"/>
      <c r="P29" s="217"/>
      <c r="T29" s="17"/>
      <c r="U29" s="17"/>
      <c r="V29" s="17"/>
      <c r="W29" s="17"/>
      <c r="X29" s="118"/>
      <c r="Y29" s="118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0"/>
      <c r="AM29" s="3"/>
    </row>
    <row r="30" spans="1:39" x14ac:dyDescent="0.2">
      <c r="A30" s="85"/>
      <c r="B30" s="17"/>
      <c r="C30" s="17"/>
      <c r="D30" s="48" t="s">
        <v>21</v>
      </c>
      <c r="E30" s="222">
        <f>$C$4*E8*$C$19</f>
        <v>68.111999999999995</v>
      </c>
      <c r="F30" s="262">
        <f t="shared" ref="F30:K30" si="7">$C$4*F8*$C$19</f>
        <v>68.111999999999995</v>
      </c>
      <c r="G30" s="222">
        <f t="shared" si="7"/>
        <v>2.8994899999999997</v>
      </c>
      <c r="H30" s="262">
        <f t="shared" si="7"/>
        <v>2.8994899999999997</v>
      </c>
      <c r="I30" s="222">
        <f t="shared" si="7"/>
        <v>2.8994899999999997</v>
      </c>
      <c r="J30" s="222">
        <f t="shared" si="7"/>
        <v>1.34805</v>
      </c>
      <c r="K30" s="261">
        <f t="shared" si="7"/>
        <v>0.33110000000000001</v>
      </c>
      <c r="L30" s="178"/>
      <c r="M30" s="392" t="s">
        <v>2</v>
      </c>
      <c r="N30" s="393"/>
      <c r="O30" s="394"/>
      <c r="P30" s="217"/>
      <c r="T30" s="17"/>
      <c r="U30" s="17"/>
      <c r="V30" s="17"/>
      <c r="W30" s="17"/>
      <c r="X30" s="118"/>
      <c r="Y30" s="118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0"/>
      <c r="AM30" s="3"/>
    </row>
    <row r="31" spans="1:39" x14ac:dyDescent="0.2">
      <c r="A31" s="85"/>
      <c r="B31" s="17"/>
      <c r="C31" s="17"/>
      <c r="D31" s="48" t="s">
        <v>22</v>
      </c>
      <c r="E31" s="222">
        <f>$C$4*E8*$C$20</f>
        <v>0.95040000000000002</v>
      </c>
      <c r="F31" s="262">
        <f t="shared" ref="F31:K31" si="8">$C$4*F8*$C$20</f>
        <v>0.95040000000000002</v>
      </c>
      <c r="G31" s="222">
        <f t="shared" si="8"/>
        <v>4.0458000000000001E-2</v>
      </c>
      <c r="H31" s="262">
        <f t="shared" si="8"/>
        <v>4.0458000000000001E-2</v>
      </c>
      <c r="I31" s="222">
        <f t="shared" si="8"/>
        <v>4.0458000000000001E-2</v>
      </c>
      <c r="J31" s="222">
        <f t="shared" si="8"/>
        <v>1.881E-2</v>
      </c>
      <c r="K31" s="261">
        <f t="shared" si="8"/>
        <v>4.62E-3</v>
      </c>
      <c r="L31" s="178"/>
      <c r="M31" s="92">
        <f>SUM(E38:K39)-D3</f>
        <v>0</v>
      </c>
      <c r="N31" s="262" t="s">
        <v>46</v>
      </c>
      <c r="O31" s="261">
        <v>0</v>
      </c>
      <c r="P31" s="217"/>
      <c r="T31" s="17"/>
      <c r="U31" s="17"/>
      <c r="V31" s="17"/>
      <c r="W31" s="17"/>
      <c r="X31" s="118"/>
      <c r="Y31" s="118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10"/>
      <c r="AM31" s="3"/>
    </row>
    <row r="32" spans="1:39" x14ac:dyDescent="0.2">
      <c r="A32" s="85"/>
      <c r="B32" s="17"/>
      <c r="C32" s="17"/>
      <c r="D32" s="48" t="s">
        <v>24</v>
      </c>
      <c r="E32" s="222">
        <f>$C$4*E8*$C$21</f>
        <v>21.859200000000001</v>
      </c>
      <c r="F32" s="262">
        <f t="shared" ref="F32:K32" si="9">$C$4*F8*$C$21</f>
        <v>21.859200000000001</v>
      </c>
      <c r="G32" s="222">
        <f t="shared" si="9"/>
        <v>0.93053399999999997</v>
      </c>
      <c r="H32" s="262">
        <f t="shared" si="9"/>
        <v>0.93053399999999997</v>
      </c>
      <c r="I32" s="222">
        <f t="shared" si="9"/>
        <v>0.93053399999999997</v>
      </c>
      <c r="J32" s="222">
        <f t="shared" si="9"/>
        <v>0.43262999999999996</v>
      </c>
      <c r="K32" s="261">
        <f t="shared" si="9"/>
        <v>0.10626000000000001</v>
      </c>
      <c r="L32" s="178"/>
      <c r="M32" s="395" t="s">
        <v>3</v>
      </c>
      <c r="N32" s="396"/>
      <c r="O32" s="397"/>
      <c r="P32" s="217"/>
      <c r="T32" s="17"/>
      <c r="U32" s="17"/>
      <c r="V32" s="17"/>
      <c r="W32" s="17"/>
      <c r="X32" s="118"/>
      <c r="Y32" s="118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0"/>
      <c r="AM32" s="3"/>
    </row>
    <row r="33" spans="1:40" ht="16" thickBot="1" x14ac:dyDescent="0.25">
      <c r="A33" s="85"/>
      <c r="B33" s="17"/>
      <c r="C33" s="17"/>
      <c r="D33" s="60" t="s">
        <v>25</v>
      </c>
      <c r="E33" s="223">
        <f>$C$4*E8*$C$22</f>
        <v>21.732479999999999</v>
      </c>
      <c r="F33" s="258">
        <f t="shared" ref="F33:K33" si="10">$C$4*F8*$C$22</f>
        <v>21.732479999999999</v>
      </c>
      <c r="G33" s="223">
        <f t="shared" si="10"/>
        <v>0.92513959999999995</v>
      </c>
      <c r="H33" s="258">
        <f t="shared" si="10"/>
        <v>0.92513959999999995</v>
      </c>
      <c r="I33" s="223">
        <f t="shared" si="10"/>
        <v>0.92513959999999995</v>
      </c>
      <c r="J33" s="223">
        <f t="shared" si="10"/>
        <v>0.43012199999999995</v>
      </c>
      <c r="K33" s="257">
        <f t="shared" si="10"/>
        <v>0.105644</v>
      </c>
      <c r="L33" s="178"/>
      <c r="M33" s="96">
        <f>SUM(E40:K46)-D4</f>
        <v>0</v>
      </c>
      <c r="N33" s="258" t="s">
        <v>46</v>
      </c>
      <c r="O33" s="257">
        <v>0</v>
      </c>
      <c r="P33" s="217"/>
      <c r="Q33" s="262"/>
      <c r="R33" s="262"/>
      <c r="S33" s="17"/>
      <c r="T33" s="17"/>
      <c r="U33" s="17"/>
      <c r="V33" s="17"/>
      <c r="W33" s="17"/>
      <c r="X33" s="118"/>
      <c r="Y33" s="118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10"/>
      <c r="AM33" s="3"/>
    </row>
    <row r="34" spans="1:40" ht="16" thickBot="1" x14ac:dyDescent="0.25">
      <c r="A34" s="85"/>
      <c r="B34" s="17"/>
      <c r="C34" s="17"/>
      <c r="D34" s="17"/>
      <c r="E34" s="17"/>
      <c r="F34" s="17"/>
      <c r="G34" s="17"/>
      <c r="H34" s="17"/>
      <c r="I34" s="17"/>
      <c r="J34" s="17"/>
      <c r="K34" s="17"/>
      <c r="Q34" s="17"/>
      <c r="R34" s="17"/>
      <c r="S34" s="17"/>
      <c r="T34" s="17"/>
      <c r="U34" s="17"/>
      <c r="V34" s="17"/>
      <c r="W34" s="17"/>
      <c r="X34" s="118"/>
      <c r="Y34" s="118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10"/>
      <c r="AM34" s="3"/>
    </row>
    <row r="35" spans="1:40" ht="20" thickBot="1" x14ac:dyDescent="0.3">
      <c r="A35" s="85"/>
      <c r="B35" s="17"/>
      <c r="C35" s="17"/>
      <c r="D35" s="93" t="s">
        <v>40</v>
      </c>
      <c r="E35" s="94"/>
      <c r="F35" s="94"/>
      <c r="G35" s="94"/>
      <c r="H35" s="94"/>
      <c r="I35" s="94"/>
      <c r="J35" s="94"/>
      <c r="K35" s="95"/>
      <c r="M35" s="17"/>
      <c r="P35" s="374" t="s">
        <v>52</v>
      </c>
      <c r="Q35" s="375"/>
      <c r="R35" s="375"/>
      <c r="S35" s="375"/>
      <c r="T35" s="375"/>
      <c r="U35" s="375"/>
      <c r="V35" s="375"/>
      <c r="W35" s="375"/>
      <c r="X35" s="376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0"/>
      <c r="AM35" s="3"/>
    </row>
    <row r="36" spans="1:40" ht="20" thickBot="1" x14ac:dyDescent="0.3">
      <c r="A36" s="21"/>
      <c r="B36" s="17"/>
      <c r="C36" s="17"/>
      <c r="D36" s="84"/>
      <c r="E36" s="367" t="s">
        <v>41</v>
      </c>
      <c r="F36" s="367"/>
      <c r="G36" s="367"/>
      <c r="H36" s="367"/>
      <c r="I36" s="367"/>
      <c r="J36" s="367"/>
      <c r="K36" s="366"/>
      <c r="M36" s="17"/>
      <c r="N36" s="254" t="s">
        <v>308</v>
      </c>
      <c r="P36" s="371" t="s">
        <v>50</v>
      </c>
      <c r="Q36" s="372"/>
      <c r="R36" s="372"/>
      <c r="S36" s="373"/>
      <c r="T36" s="210"/>
      <c r="U36" s="371" t="s">
        <v>51</v>
      </c>
      <c r="V36" s="372"/>
      <c r="W36" s="372"/>
      <c r="X36" s="373"/>
      <c r="Y36" s="140"/>
      <c r="Z36" s="140"/>
      <c r="AA36" s="140"/>
      <c r="AB36" s="141"/>
      <c r="AC36" s="140"/>
      <c r="AD36" s="140"/>
      <c r="AE36" s="140"/>
      <c r="AF36" s="140"/>
      <c r="AG36" s="141"/>
      <c r="AH36" s="140"/>
      <c r="AI36" s="140"/>
      <c r="AJ36" s="140"/>
      <c r="AK36" s="140"/>
      <c r="AM36" s="3"/>
    </row>
    <row r="37" spans="1:40" ht="19" x14ac:dyDescent="0.25">
      <c r="A37" s="21"/>
      <c r="B37" s="17"/>
      <c r="C37" s="17"/>
      <c r="D37" s="98" t="s">
        <v>43</v>
      </c>
      <c r="E37" s="99" t="s">
        <v>5</v>
      </c>
      <c r="F37" s="100" t="s">
        <v>6</v>
      </c>
      <c r="G37" s="100" t="s">
        <v>7</v>
      </c>
      <c r="H37" s="100" t="s">
        <v>8</v>
      </c>
      <c r="I37" s="100" t="s">
        <v>9</v>
      </c>
      <c r="J37" s="100" t="s">
        <v>10</v>
      </c>
      <c r="K37" s="101" t="s">
        <v>11</v>
      </c>
      <c r="L37" s="158" t="s">
        <v>62</v>
      </c>
      <c r="M37" s="158" t="s">
        <v>36</v>
      </c>
      <c r="N37" s="253" t="s">
        <v>307</v>
      </c>
      <c r="P37" s="260"/>
      <c r="Q37" s="262" t="s">
        <v>54</v>
      </c>
      <c r="R37" s="262"/>
      <c r="S37" s="58" t="s">
        <v>55</v>
      </c>
      <c r="T37" s="262"/>
      <c r="U37" s="260"/>
      <c r="V37" s="262" t="s">
        <v>54</v>
      </c>
      <c r="W37" s="262"/>
      <c r="X37" s="261" t="s">
        <v>55</v>
      </c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M37" s="3"/>
    </row>
    <row r="38" spans="1:40" x14ac:dyDescent="0.2">
      <c r="A38" s="21"/>
      <c r="B38" s="17"/>
      <c r="C38" s="224"/>
      <c r="D38" s="104" t="s">
        <v>16</v>
      </c>
      <c r="E38" s="105">
        <v>53000</v>
      </c>
      <c r="F38" s="105">
        <v>0</v>
      </c>
      <c r="G38" s="105">
        <v>0</v>
      </c>
      <c r="H38" s="105">
        <v>0</v>
      </c>
      <c r="I38" s="105">
        <v>79500</v>
      </c>
      <c r="J38" s="105">
        <v>79500</v>
      </c>
      <c r="K38" s="41">
        <v>318000</v>
      </c>
      <c r="L38" s="159">
        <v>1</v>
      </c>
      <c r="M38" s="229">
        <f t="shared" ref="M38:M46" si="11">SUM(E38:K38)</f>
        <v>530000</v>
      </c>
      <c r="N38" s="222">
        <f t="shared" ref="N38:N46" si="12">SUMPRODUCT(E25:K25,E38:K38)</f>
        <v>3545820.8082000003</v>
      </c>
      <c r="P38" s="167" t="s">
        <v>16</v>
      </c>
      <c r="Q38" s="126">
        <f t="shared" ref="Q38:Q46" si="13">(L38*200000)-SUM(E38:K38)</f>
        <v>-330000</v>
      </c>
      <c r="R38" s="262" t="s">
        <v>49</v>
      </c>
      <c r="S38" s="125">
        <v>0</v>
      </c>
      <c r="T38" s="211"/>
      <c r="U38" s="167" t="s">
        <v>16</v>
      </c>
      <c r="V38" s="126">
        <f t="shared" ref="V38:V46" si="14">(L38*600000)-SUM(E38:K38)</f>
        <v>70000</v>
      </c>
      <c r="W38" s="262" t="s">
        <v>48</v>
      </c>
      <c r="X38" s="261">
        <v>0</v>
      </c>
      <c r="Y38" s="141"/>
      <c r="Z38" s="142"/>
      <c r="AA38" s="141"/>
      <c r="AB38" s="141"/>
      <c r="AC38" s="103"/>
      <c r="AD38" s="143"/>
      <c r="AE38" s="142"/>
      <c r="AF38" s="141"/>
      <c r="AG38" s="141"/>
      <c r="AH38" s="103"/>
      <c r="AI38" s="141"/>
      <c r="AJ38" s="142"/>
      <c r="AK38" s="141"/>
      <c r="AM38" s="3"/>
    </row>
    <row r="39" spans="1:40" x14ac:dyDescent="0.2">
      <c r="A39" s="17"/>
      <c r="B39" s="17"/>
      <c r="C39" s="17"/>
      <c r="D39" s="107" t="s">
        <v>17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9">
        <v>0</v>
      </c>
      <c r="L39" s="159">
        <v>0</v>
      </c>
      <c r="M39" s="229">
        <f t="shared" si="11"/>
        <v>0</v>
      </c>
      <c r="N39" s="222">
        <f t="shared" si="12"/>
        <v>0</v>
      </c>
      <c r="P39" s="168" t="s">
        <v>17</v>
      </c>
      <c r="Q39" s="126">
        <f t="shared" si="13"/>
        <v>0</v>
      </c>
      <c r="R39" s="262" t="s">
        <v>49</v>
      </c>
      <c r="S39" s="125">
        <v>0</v>
      </c>
      <c r="T39" s="211"/>
      <c r="U39" s="168" t="s">
        <v>17</v>
      </c>
      <c r="V39" s="126">
        <f t="shared" si="14"/>
        <v>0</v>
      </c>
      <c r="W39" s="262" t="s">
        <v>48</v>
      </c>
      <c r="X39" s="261">
        <v>0</v>
      </c>
      <c r="Y39" s="141"/>
      <c r="Z39" s="142"/>
      <c r="AA39" s="144"/>
      <c r="AB39" s="144"/>
      <c r="AC39" s="103"/>
      <c r="AD39" s="143"/>
      <c r="AE39" s="142"/>
      <c r="AF39" s="144"/>
      <c r="AG39" s="141"/>
      <c r="AH39" s="103"/>
      <c r="AI39" s="141"/>
      <c r="AJ39" s="142"/>
      <c r="AK39" s="144"/>
      <c r="AM39" s="3"/>
    </row>
    <row r="40" spans="1:40" x14ac:dyDescent="0.2">
      <c r="A40" s="17"/>
      <c r="B40" s="17"/>
      <c r="C40" s="17"/>
      <c r="D40" s="110" t="s">
        <v>18</v>
      </c>
      <c r="E40" s="111">
        <v>0</v>
      </c>
      <c r="F40" s="111">
        <v>0</v>
      </c>
      <c r="G40" s="111">
        <v>0</v>
      </c>
      <c r="H40" s="111">
        <v>0</v>
      </c>
      <c r="I40" s="111">
        <v>24</v>
      </c>
      <c r="J40" s="111">
        <v>0</v>
      </c>
      <c r="K40" s="53">
        <v>315399</v>
      </c>
      <c r="L40" s="159">
        <v>1</v>
      </c>
      <c r="M40" s="229">
        <f t="shared" si="11"/>
        <v>315423</v>
      </c>
      <c r="N40" s="222">
        <f t="shared" si="12"/>
        <v>121898.36149920001</v>
      </c>
      <c r="P40" s="169" t="s">
        <v>18</v>
      </c>
      <c r="Q40" s="126">
        <f t="shared" si="13"/>
        <v>-115423</v>
      </c>
      <c r="R40" s="262" t="s">
        <v>49</v>
      </c>
      <c r="S40" s="261">
        <v>0</v>
      </c>
      <c r="T40" s="262"/>
      <c r="U40" s="169" t="s">
        <v>18</v>
      </c>
      <c r="V40" s="126">
        <f t="shared" si="14"/>
        <v>284577</v>
      </c>
      <c r="W40" s="262" t="s">
        <v>48</v>
      </c>
      <c r="X40" s="261">
        <v>0</v>
      </c>
      <c r="Y40" s="141"/>
      <c r="Z40" s="142"/>
      <c r="AA40" s="144"/>
      <c r="AB40" s="144"/>
      <c r="AC40" s="103"/>
      <c r="AD40" s="143"/>
      <c r="AE40" s="142"/>
      <c r="AF40" s="144"/>
      <c r="AG40" s="141"/>
      <c r="AH40" s="103"/>
      <c r="AI40" s="144"/>
      <c r="AJ40" s="142"/>
      <c r="AK40" s="144"/>
      <c r="AM40" s="12"/>
      <c r="AN40" s="9"/>
    </row>
    <row r="41" spans="1:40" x14ac:dyDescent="0.2">
      <c r="A41" s="17"/>
      <c r="B41" s="17"/>
      <c r="C41" s="17"/>
      <c r="D41" s="110" t="s">
        <v>19</v>
      </c>
      <c r="E41" s="111">
        <v>0</v>
      </c>
      <c r="F41" s="111">
        <v>0</v>
      </c>
      <c r="G41" s="111">
        <v>0</v>
      </c>
      <c r="H41" s="111">
        <v>0</v>
      </c>
      <c r="I41" s="111">
        <v>0</v>
      </c>
      <c r="J41" s="112">
        <v>0</v>
      </c>
      <c r="K41" s="53">
        <v>0</v>
      </c>
      <c r="L41" s="159">
        <v>0</v>
      </c>
      <c r="M41" s="229">
        <f t="shared" si="11"/>
        <v>0</v>
      </c>
      <c r="N41" s="222">
        <f t="shared" si="12"/>
        <v>0</v>
      </c>
      <c r="P41" s="169" t="s">
        <v>19</v>
      </c>
      <c r="Q41" s="126">
        <f t="shared" si="13"/>
        <v>0</v>
      </c>
      <c r="R41" s="262" t="s">
        <v>49</v>
      </c>
      <c r="S41" s="261">
        <v>0</v>
      </c>
      <c r="T41" s="262"/>
      <c r="U41" s="169" t="s">
        <v>19</v>
      </c>
      <c r="V41" s="126">
        <f t="shared" si="14"/>
        <v>0</v>
      </c>
      <c r="W41" s="262" t="s">
        <v>48</v>
      </c>
      <c r="X41" s="261">
        <v>0</v>
      </c>
      <c r="Y41" s="141"/>
      <c r="Z41" s="142"/>
      <c r="AA41" s="141"/>
      <c r="AB41" s="141"/>
      <c r="AC41" s="103"/>
      <c r="AD41" s="143"/>
      <c r="AE41" s="142"/>
      <c r="AF41" s="141"/>
      <c r="AG41" s="141"/>
      <c r="AH41" s="103"/>
      <c r="AI41" s="144"/>
      <c r="AJ41" s="142"/>
      <c r="AK41" s="141"/>
      <c r="AM41" s="9"/>
      <c r="AN41" s="9"/>
    </row>
    <row r="42" spans="1:40" x14ac:dyDescent="0.2">
      <c r="A42" s="17"/>
      <c r="B42" s="17"/>
      <c r="C42" s="17"/>
      <c r="D42" s="110" t="s">
        <v>20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2">
        <v>0</v>
      </c>
      <c r="K42" s="53">
        <v>0</v>
      </c>
      <c r="L42" s="159">
        <v>0</v>
      </c>
      <c r="M42" s="229">
        <f t="shared" si="11"/>
        <v>0</v>
      </c>
      <c r="N42" s="222">
        <f t="shared" si="12"/>
        <v>0</v>
      </c>
      <c r="P42" s="169" t="s">
        <v>20</v>
      </c>
      <c r="Q42" s="126">
        <f t="shared" si="13"/>
        <v>0</v>
      </c>
      <c r="R42" s="262" t="s">
        <v>49</v>
      </c>
      <c r="S42" s="261">
        <v>0</v>
      </c>
      <c r="T42" s="262"/>
      <c r="U42" s="169" t="s">
        <v>20</v>
      </c>
      <c r="V42" s="126">
        <f t="shared" si="14"/>
        <v>0</v>
      </c>
      <c r="W42" s="262" t="s">
        <v>48</v>
      </c>
      <c r="X42" s="261">
        <v>0</v>
      </c>
      <c r="Y42" s="141"/>
      <c r="Z42" s="142"/>
      <c r="AA42" s="141"/>
      <c r="AB42" s="141"/>
      <c r="AC42" s="103"/>
      <c r="AD42" s="143"/>
      <c r="AE42" s="142"/>
      <c r="AF42" s="141"/>
      <c r="AG42" s="141"/>
      <c r="AH42" s="103"/>
      <c r="AI42" s="144"/>
      <c r="AJ42" s="142"/>
      <c r="AK42" s="141"/>
    </row>
    <row r="43" spans="1:40" x14ac:dyDescent="0.2">
      <c r="A43" s="17"/>
      <c r="B43" s="17"/>
      <c r="C43" s="17"/>
      <c r="D43" s="110" t="s">
        <v>21</v>
      </c>
      <c r="E43" s="111">
        <v>41422</v>
      </c>
      <c r="F43" s="111">
        <v>0</v>
      </c>
      <c r="G43" s="111">
        <v>0</v>
      </c>
      <c r="H43" s="111">
        <v>0</v>
      </c>
      <c r="I43" s="111">
        <v>91976</v>
      </c>
      <c r="J43" s="111">
        <v>138000</v>
      </c>
      <c r="K43" s="53">
        <v>133179</v>
      </c>
      <c r="L43" s="159">
        <v>1</v>
      </c>
      <c r="M43" s="229">
        <f t="shared" si="11"/>
        <v>404577</v>
      </c>
      <c r="N43" s="222">
        <f t="shared" si="12"/>
        <v>3318145.2231399999</v>
      </c>
      <c r="P43" s="169" t="s">
        <v>21</v>
      </c>
      <c r="Q43" s="126">
        <f t="shared" si="13"/>
        <v>-204577</v>
      </c>
      <c r="R43" s="262" t="s">
        <v>49</v>
      </c>
      <c r="S43" s="261">
        <v>0</v>
      </c>
      <c r="T43" s="262"/>
      <c r="U43" s="169" t="s">
        <v>21</v>
      </c>
      <c r="V43" s="126">
        <f t="shared" si="14"/>
        <v>195423</v>
      </c>
      <c r="W43" s="262" t="s">
        <v>48</v>
      </c>
      <c r="X43" s="261">
        <v>0</v>
      </c>
      <c r="Y43" s="141"/>
      <c r="Z43" s="142"/>
      <c r="AA43" s="141"/>
      <c r="AB43" s="141"/>
      <c r="AC43" s="103"/>
      <c r="AD43" s="143"/>
      <c r="AE43" s="142"/>
      <c r="AF43" s="141"/>
      <c r="AG43" s="141"/>
      <c r="AH43" s="103"/>
      <c r="AI43" s="144"/>
      <c r="AJ43" s="142"/>
      <c r="AK43" s="141"/>
    </row>
    <row r="44" spans="1:40" x14ac:dyDescent="0.2">
      <c r="A44" s="17"/>
      <c r="B44" s="17"/>
      <c r="C44" s="17"/>
      <c r="D44" s="110" t="s">
        <v>22</v>
      </c>
      <c r="E44" s="103">
        <v>0</v>
      </c>
      <c r="F44" s="103">
        <v>0</v>
      </c>
      <c r="G44" s="111">
        <v>0</v>
      </c>
      <c r="H44" s="111">
        <v>0</v>
      </c>
      <c r="I44" s="111">
        <v>0</v>
      </c>
      <c r="J44" s="103">
        <v>0</v>
      </c>
      <c r="K44" s="58">
        <v>0</v>
      </c>
      <c r="L44" s="159">
        <v>0</v>
      </c>
      <c r="M44" s="229">
        <f t="shared" si="11"/>
        <v>0</v>
      </c>
      <c r="N44" s="222">
        <f t="shared" si="12"/>
        <v>0</v>
      </c>
      <c r="P44" s="169" t="s">
        <v>22</v>
      </c>
      <c r="Q44" s="126">
        <f t="shared" si="13"/>
        <v>0</v>
      </c>
      <c r="R44" s="262" t="s">
        <v>49</v>
      </c>
      <c r="S44" s="261">
        <v>0</v>
      </c>
      <c r="T44" s="262"/>
      <c r="U44" s="169" t="s">
        <v>22</v>
      </c>
      <c r="V44" s="126">
        <f t="shared" si="14"/>
        <v>0</v>
      </c>
      <c r="W44" s="262" t="s">
        <v>48</v>
      </c>
      <c r="X44" s="261">
        <v>0</v>
      </c>
      <c r="Y44" s="141"/>
      <c r="Z44" s="142"/>
      <c r="AA44" s="141"/>
      <c r="AB44" s="141"/>
      <c r="AC44" s="103"/>
      <c r="AD44" s="143"/>
      <c r="AE44" s="142"/>
      <c r="AF44" s="141"/>
      <c r="AG44" s="141"/>
      <c r="AH44" s="103"/>
      <c r="AI44" s="144"/>
      <c r="AJ44" s="142"/>
      <c r="AK44" s="141"/>
    </row>
    <row r="45" spans="1:40" x14ac:dyDescent="0.2">
      <c r="A45" s="17"/>
      <c r="B45" s="17"/>
      <c r="C45" s="17"/>
      <c r="D45" s="110" t="s">
        <v>24</v>
      </c>
      <c r="E45" s="111">
        <v>0</v>
      </c>
      <c r="F45" s="111">
        <v>0</v>
      </c>
      <c r="G45" s="103">
        <v>0</v>
      </c>
      <c r="H45" s="103">
        <v>0</v>
      </c>
      <c r="I45" s="103">
        <v>0</v>
      </c>
      <c r="J45" s="103">
        <v>0</v>
      </c>
      <c r="K45" s="53">
        <v>0</v>
      </c>
      <c r="L45" s="159">
        <v>0</v>
      </c>
      <c r="M45" s="229">
        <f t="shared" si="11"/>
        <v>0</v>
      </c>
      <c r="N45" s="222">
        <f t="shared" si="12"/>
        <v>0</v>
      </c>
      <c r="P45" s="169" t="s">
        <v>24</v>
      </c>
      <c r="Q45" s="126">
        <f t="shared" si="13"/>
        <v>0</v>
      </c>
      <c r="R45" s="262" t="s">
        <v>49</v>
      </c>
      <c r="S45" s="261">
        <v>0</v>
      </c>
      <c r="T45" s="262"/>
      <c r="U45" s="169" t="s">
        <v>24</v>
      </c>
      <c r="V45" s="126">
        <f t="shared" si="14"/>
        <v>0</v>
      </c>
      <c r="W45" s="262" t="s">
        <v>48</v>
      </c>
      <c r="X45" s="261">
        <v>0</v>
      </c>
      <c r="Y45" s="141"/>
      <c r="Z45" s="142"/>
      <c r="AA45" s="141"/>
      <c r="AB45" s="141"/>
      <c r="AC45" s="103"/>
      <c r="AD45" s="143"/>
      <c r="AE45" s="142"/>
      <c r="AF45" s="141"/>
      <c r="AG45" s="141"/>
      <c r="AH45" s="103"/>
      <c r="AI45" s="144"/>
      <c r="AJ45" s="142"/>
      <c r="AK45" s="141"/>
    </row>
    <row r="46" spans="1:40" ht="16" thickBot="1" x14ac:dyDescent="0.25">
      <c r="A46" s="17"/>
      <c r="B46" s="17"/>
      <c r="C46" s="17"/>
      <c r="D46" s="113" t="s">
        <v>25</v>
      </c>
      <c r="E46" s="114">
        <v>4578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  <c r="K46" s="66">
        <v>195422</v>
      </c>
      <c r="L46" s="160">
        <v>1</v>
      </c>
      <c r="M46" s="230">
        <f t="shared" si="11"/>
        <v>200000</v>
      </c>
      <c r="N46" s="223">
        <f t="shared" si="12"/>
        <v>120136.455208</v>
      </c>
      <c r="P46" s="170" t="s">
        <v>25</v>
      </c>
      <c r="Q46" s="212">
        <f t="shared" si="13"/>
        <v>0</v>
      </c>
      <c r="R46" s="258" t="s">
        <v>49</v>
      </c>
      <c r="S46" s="257">
        <v>0</v>
      </c>
      <c r="T46" s="258"/>
      <c r="U46" s="170" t="s">
        <v>25</v>
      </c>
      <c r="V46" s="212">
        <f t="shared" si="14"/>
        <v>400000</v>
      </c>
      <c r="W46" s="258" t="s">
        <v>48</v>
      </c>
      <c r="X46" s="257">
        <v>0</v>
      </c>
      <c r="Y46" s="141"/>
      <c r="Z46" s="142"/>
      <c r="AA46" s="141"/>
      <c r="AB46" s="141"/>
      <c r="AC46" s="103"/>
      <c r="AD46" s="143"/>
      <c r="AE46" s="142"/>
      <c r="AF46" s="141"/>
      <c r="AG46" s="141"/>
      <c r="AH46" s="103"/>
      <c r="AI46" s="144"/>
      <c r="AJ46" s="142"/>
      <c r="AK46" s="141"/>
    </row>
    <row r="47" spans="1:40" ht="20" thickBot="1" x14ac:dyDescent="0.3">
      <c r="A47" s="17"/>
      <c r="B47" s="17"/>
      <c r="C47" s="17"/>
      <c r="D47" s="115" t="s">
        <v>37</v>
      </c>
      <c r="E47" s="116">
        <f t="shared" ref="E47:K47" si="15">SUM(E38:E46)</f>
        <v>99000</v>
      </c>
      <c r="F47" s="116">
        <f t="shared" si="15"/>
        <v>0</v>
      </c>
      <c r="G47" s="116">
        <f t="shared" si="15"/>
        <v>0</v>
      </c>
      <c r="H47" s="116">
        <f t="shared" si="15"/>
        <v>0</v>
      </c>
      <c r="I47" s="116">
        <f t="shared" si="15"/>
        <v>171500</v>
      </c>
      <c r="J47" s="116">
        <f t="shared" si="15"/>
        <v>217500</v>
      </c>
      <c r="K47" s="117">
        <f t="shared" si="15"/>
        <v>962000</v>
      </c>
      <c r="L47" s="118"/>
      <c r="M47" s="228"/>
      <c r="N47" s="252">
        <f>SUM(N38:N46)</f>
        <v>7106000.8480472006</v>
      </c>
      <c r="O47" s="121"/>
      <c r="P47" s="121"/>
      <c r="Q47" s="121"/>
      <c r="R47" s="121"/>
      <c r="S47" s="121"/>
      <c r="T47" s="121"/>
      <c r="U47" s="121"/>
      <c r="V47" s="121"/>
      <c r="W47" s="121"/>
      <c r="X47" s="127"/>
      <c r="Y47" s="127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</row>
    <row r="48" spans="1:40" ht="16" thickBo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302" t="s">
        <v>49</v>
      </c>
      <c r="X48" s="17"/>
      <c r="Y48" s="17"/>
    </row>
    <row r="49" spans="1:52" ht="20" thickBot="1" x14ac:dyDescent="0.3">
      <c r="A49" s="17"/>
      <c r="B49" s="17"/>
      <c r="C49" s="17"/>
      <c r="D49" s="118"/>
      <c r="E49" s="374" t="s">
        <v>60</v>
      </c>
      <c r="F49" s="375"/>
      <c r="G49" s="375"/>
      <c r="H49" s="375"/>
      <c r="I49" s="375"/>
      <c r="J49" s="376"/>
      <c r="K49" s="17"/>
      <c r="L49" s="17"/>
      <c r="M49" s="17"/>
      <c r="N49" s="223">
        <f>7944511.034-(7944511.034*0.1)</f>
        <v>7150059.9305999996</v>
      </c>
      <c r="X49" s="17"/>
      <c r="Y49" s="17"/>
    </row>
    <row r="50" spans="1:52" ht="16" thickBot="1" x14ac:dyDescent="0.25">
      <c r="A50" s="17"/>
      <c r="B50" s="17"/>
      <c r="C50" s="17"/>
      <c r="D50" s="118"/>
      <c r="E50" s="353" t="s">
        <v>59</v>
      </c>
      <c r="F50" s="354"/>
      <c r="G50" s="353" t="s">
        <v>61</v>
      </c>
      <c r="H50" s="355"/>
      <c r="I50" s="354"/>
      <c r="J50" s="122" t="s">
        <v>10</v>
      </c>
      <c r="K50" s="119"/>
      <c r="L50" s="17"/>
      <c r="M50" s="17"/>
      <c r="N50" s="17"/>
      <c r="X50" s="17"/>
      <c r="Y50" s="17"/>
    </row>
    <row r="51" spans="1:52" x14ac:dyDescent="0.2">
      <c r="A51" s="17"/>
      <c r="B51" s="17"/>
      <c r="C51" s="17"/>
      <c r="D51" s="118"/>
      <c r="E51" s="362">
        <f>SUM(E38:F39)-E9</f>
        <v>0</v>
      </c>
      <c r="F51" s="363"/>
      <c r="G51" s="362">
        <f>SUM(G38:I39)-G9</f>
        <v>0</v>
      </c>
      <c r="H51" s="364"/>
      <c r="I51" s="363"/>
      <c r="J51" s="120">
        <f>SUM(J38:J39)-J9</f>
        <v>0</v>
      </c>
      <c r="K51" s="88"/>
      <c r="L51" s="17"/>
      <c r="M51" s="17"/>
      <c r="N51" s="17"/>
      <c r="X51" s="17"/>
      <c r="Y51" s="17"/>
    </row>
    <row r="52" spans="1:52" x14ac:dyDescent="0.2">
      <c r="A52" s="17"/>
      <c r="B52" s="17"/>
      <c r="C52" s="17"/>
      <c r="D52" s="118"/>
      <c r="E52" s="365" t="s">
        <v>48</v>
      </c>
      <c r="F52" s="366"/>
      <c r="G52" s="365" t="s">
        <v>48</v>
      </c>
      <c r="H52" s="367"/>
      <c r="I52" s="366"/>
      <c r="J52" s="261" t="s">
        <v>48</v>
      </c>
      <c r="K52" s="121"/>
      <c r="L52" s="17"/>
    </row>
    <row r="53" spans="1:52" ht="16" thickBot="1" x14ac:dyDescent="0.25">
      <c r="A53" s="17"/>
      <c r="B53" s="17"/>
      <c r="C53" s="17"/>
      <c r="D53" s="118"/>
      <c r="E53" s="356">
        <v>0</v>
      </c>
      <c r="F53" s="357"/>
      <c r="G53" s="356">
        <v>0</v>
      </c>
      <c r="H53" s="358"/>
      <c r="I53" s="357"/>
      <c r="J53" s="257">
        <v>0</v>
      </c>
      <c r="K53" s="121"/>
      <c r="L53" s="17"/>
    </row>
    <row r="54" spans="1:52" ht="15" customHeight="1" thickBot="1" x14ac:dyDescent="0.25">
      <c r="A54" s="17"/>
      <c r="B54" s="17"/>
      <c r="C54" s="17"/>
      <c r="D54" s="118"/>
      <c r="E54" s="359" t="s">
        <v>59</v>
      </c>
      <c r="F54" s="360"/>
      <c r="G54" s="359" t="s">
        <v>61</v>
      </c>
      <c r="H54" s="361"/>
      <c r="I54" s="360"/>
      <c r="J54" s="259" t="s">
        <v>10</v>
      </c>
      <c r="K54" s="17"/>
      <c r="L54" s="17"/>
      <c r="M54" s="17"/>
      <c r="N54" s="17"/>
    </row>
    <row r="55" spans="1:52" x14ac:dyDescent="0.2">
      <c r="A55" s="17"/>
      <c r="B55" s="17"/>
      <c r="C55" s="17"/>
      <c r="D55" s="118"/>
      <c r="E55" s="362">
        <f>SUM(E40:F46)-E10</f>
        <v>0</v>
      </c>
      <c r="F55" s="363"/>
      <c r="G55" s="362">
        <f>SUM(G40:I46)-G10</f>
        <v>0</v>
      </c>
      <c r="H55" s="364"/>
      <c r="I55" s="363"/>
      <c r="J55" s="120">
        <f>SUM(J40:J46)-J10</f>
        <v>0</v>
      </c>
      <c r="K55" s="119"/>
      <c r="L55" s="17"/>
      <c r="M55" s="17"/>
      <c r="N55" s="17"/>
    </row>
    <row r="56" spans="1:52" x14ac:dyDescent="0.2">
      <c r="A56" s="17"/>
      <c r="B56" s="17"/>
      <c r="C56" s="17"/>
      <c r="D56" s="118"/>
      <c r="E56" s="365" t="s">
        <v>48</v>
      </c>
      <c r="F56" s="366"/>
      <c r="G56" s="365" t="s">
        <v>48</v>
      </c>
      <c r="H56" s="367"/>
      <c r="I56" s="366"/>
      <c r="J56" s="261" t="s">
        <v>48</v>
      </c>
      <c r="K56" s="121"/>
      <c r="L56" s="17"/>
      <c r="M56" s="17"/>
      <c r="N56" s="17"/>
      <c r="AZ56" s="11"/>
    </row>
    <row r="57" spans="1:52" ht="16" thickBot="1" x14ac:dyDescent="0.25">
      <c r="A57" s="17"/>
      <c r="B57" s="17"/>
      <c r="C57" s="17"/>
      <c r="D57" s="118"/>
      <c r="E57" s="356">
        <v>0</v>
      </c>
      <c r="F57" s="357"/>
      <c r="G57" s="356">
        <v>0</v>
      </c>
      <c r="H57" s="358"/>
      <c r="I57" s="357"/>
      <c r="J57" s="257">
        <v>0</v>
      </c>
      <c r="K57" s="121"/>
      <c r="L57" s="17"/>
      <c r="M57" s="17"/>
      <c r="N57" s="17"/>
      <c r="AZ57" s="11"/>
    </row>
    <row r="58" spans="1:52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AZ58" s="11"/>
    </row>
    <row r="59" spans="1:52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AZ59" s="11"/>
    </row>
    <row r="60" spans="1:52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AZ60" s="8"/>
    </row>
    <row r="61" spans="1:52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AZ61" s="8"/>
    </row>
    <row r="62" spans="1:52" x14ac:dyDescent="0.2">
      <c r="AZ62" s="8"/>
    </row>
    <row r="63" spans="1:52" x14ac:dyDescent="0.2">
      <c r="AY63" s="10"/>
    </row>
    <row r="86" spans="2:10" x14ac:dyDescent="0.2">
      <c r="D86" s="3"/>
    </row>
    <row r="87" spans="2:10" x14ac:dyDescent="0.2">
      <c r="D87" s="5"/>
    </row>
    <row r="88" spans="2:10" x14ac:dyDescent="0.2">
      <c r="D88" s="6"/>
    </row>
    <row r="89" spans="2:10" x14ac:dyDescent="0.2">
      <c r="D89" s="6"/>
    </row>
    <row r="90" spans="2:10" x14ac:dyDescent="0.2">
      <c r="D90" s="6"/>
    </row>
    <row r="95" spans="2:10" x14ac:dyDescent="0.2">
      <c r="B95" s="4"/>
      <c r="C95" s="4"/>
      <c r="D95" s="4"/>
      <c r="E95" s="4"/>
      <c r="F95" s="4"/>
      <c r="G95" s="4"/>
      <c r="H95" s="4"/>
      <c r="I95" s="4"/>
      <c r="J95" s="4"/>
    </row>
    <row r="96" spans="2:10" x14ac:dyDescent="0.2">
      <c r="B96" s="4"/>
      <c r="C96" s="4"/>
      <c r="D96" s="4"/>
      <c r="E96" s="4"/>
      <c r="F96" s="4"/>
      <c r="G96" s="4"/>
      <c r="H96" s="4"/>
      <c r="I96" s="4"/>
      <c r="J96" s="4"/>
    </row>
    <row r="97" spans="2:10" x14ac:dyDescent="0.2">
      <c r="B97" s="4"/>
      <c r="C97" s="4"/>
      <c r="D97" s="4"/>
      <c r="E97" s="4"/>
      <c r="F97" s="4"/>
      <c r="G97" s="4"/>
      <c r="H97" s="4"/>
      <c r="I97" s="4"/>
      <c r="J97" s="4"/>
    </row>
    <row r="98" spans="2:10" x14ac:dyDescent="0.2">
      <c r="B98" s="4"/>
      <c r="C98" s="4"/>
      <c r="D98" s="4"/>
      <c r="E98" s="4"/>
      <c r="F98" s="4"/>
      <c r="G98" s="4"/>
      <c r="H98" s="4"/>
      <c r="I98" s="4"/>
      <c r="J98" s="4"/>
    </row>
    <row r="99" spans="2:10" x14ac:dyDescent="0.2">
      <c r="B99" s="4"/>
      <c r="C99" s="5"/>
      <c r="D99" s="5"/>
      <c r="E99" s="5"/>
      <c r="F99" s="5"/>
      <c r="G99" s="5"/>
      <c r="H99" s="5"/>
      <c r="I99" s="5"/>
      <c r="J99" s="5"/>
    </row>
    <row r="100" spans="2:10" x14ac:dyDescent="0.2">
      <c r="B100" s="4"/>
      <c r="C100" s="2"/>
      <c r="D100" s="6"/>
      <c r="E100" s="6"/>
      <c r="F100" s="7"/>
      <c r="G100" s="6"/>
      <c r="H100" s="4"/>
      <c r="I100" s="4"/>
      <c r="J100" s="4"/>
    </row>
    <row r="101" spans="2:10" x14ac:dyDescent="0.2">
      <c r="B101" s="4"/>
      <c r="C101" s="2"/>
      <c r="D101" s="4"/>
      <c r="E101" s="4"/>
      <c r="F101" s="7"/>
      <c r="G101" s="6"/>
      <c r="H101" s="4"/>
      <c r="I101" s="4"/>
      <c r="J101" s="4"/>
    </row>
    <row r="102" spans="2:10" x14ac:dyDescent="0.2">
      <c r="B102" s="4"/>
      <c r="C102" s="4"/>
      <c r="D102" s="4"/>
      <c r="E102" s="4"/>
      <c r="F102" s="4"/>
      <c r="G102" s="4"/>
      <c r="H102" s="6"/>
      <c r="I102" s="4"/>
      <c r="J102" s="4"/>
    </row>
    <row r="103" spans="2:10" x14ac:dyDescent="0.2">
      <c r="B103" s="4"/>
      <c r="C103" s="2"/>
      <c r="D103" s="6"/>
      <c r="E103" s="6"/>
      <c r="F103" s="7"/>
      <c r="G103" s="6"/>
      <c r="H103" s="4"/>
      <c r="I103" s="4"/>
      <c r="J103" s="4"/>
    </row>
    <row r="104" spans="2:10" x14ac:dyDescent="0.2">
      <c r="B104" s="4"/>
      <c r="C104" s="2"/>
      <c r="D104" s="4"/>
      <c r="E104" s="4"/>
      <c r="F104" s="7"/>
      <c r="G104" s="6"/>
      <c r="H104" s="4"/>
      <c r="I104" s="4"/>
      <c r="J104" s="4"/>
    </row>
    <row r="105" spans="2:10" x14ac:dyDescent="0.2"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37">
    <mergeCell ref="M6:O6"/>
    <mergeCell ref="E6:K6"/>
    <mergeCell ref="C8:D8"/>
    <mergeCell ref="C9:D9"/>
    <mergeCell ref="E9:F9"/>
    <mergeCell ref="G9:I9"/>
    <mergeCell ref="M30:O30"/>
    <mergeCell ref="M32:O32"/>
    <mergeCell ref="C10:D10"/>
    <mergeCell ref="E10:F10"/>
    <mergeCell ref="G10:I10"/>
    <mergeCell ref="E12:K12"/>
    <mergeCell ref="M12:O12"/>
    <mergeCell ref="C24:C28"/>
    <mergeCell ref="M26:O26"/>
    <mergeCell ref="M29:O29"/>
    <mergeCell ref="P35:X35"/>
    <mergeCell ref="E36:K36"/>
    <mergeCell ref="P36:S36"/>
    <mergeCell ref="U36:X36"/>
    <mergeCell ref="E50:F50"/>
    <mergeCell ref="G50:I50"/>
    <mergeCell ref="E49:J49"/>
    <mergeCell ref="E51:F51"/>
    <mergeCell ref="G51:I51"/>
    <mergeCell ref="E52:F52"/>
    <mergeCell ref="G52:I52"/>
    <mergeCell ref="E56:F56"/>
    <mergeCell ref="G56:I56"/>
    <mergeCell ref="E57:F57"/>
    <mergeCell ref="G57:I57"/>
    <mergeCell ref="E53:F53"/>
    <mergeCell ref="G53:I53"/>
    <mergeCell ref="E54:F54"/>
    <mergeCell ref="G54:I54"/>
    <mergeCell ref="E55:F55"/>
    <mergeCell ref="G55:I55"/>
  </mergeCells>
  <pageMargins left="0.25" right="0.25" top="0.75" bottom="0.75" header="0.3" footer="0.3"/>
  <pageSetup scale="3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05"/>
  <sheetViews>
    <sheetView zoomScale="70" zoomScaleNormal="70" workbookViewId="0">
      <selection activeCell="N48" sqref="N48"/>
    </sheetView>
  </sheetViews>
  <sheetFormatPr baseColWidth="10" defaultColWidth="8.83203125" defaultRowHeight="15" x14ac:dyDescent="0.2"/>
  <cols>
    <col min="1" max="1" width="13.5" bestFit="1" customWidth="1"/>
    <col min="2" max="2" width="18.83203125" bestFit="1" customWidth="1"/>
    <col min="3" max="3" width="20.5" bestFit="1" customWidth="1"/>
    <col min="4" max="4" width="17.83203125" customWidth="1"/>
    <col min="5" max="5" width="19.5" bestFit="1" customWidth="1"/>
    <col min="6" max="8" width="13.5" bestFit="1" customWidth="1"/>
    <col min="9" max="9" width="21.1640625" bestFit="1" customWidth="1"/>
    <col min="10" max="10" width="13.5" bestFit="1" customWidth="1"/>
    <col min="11" max="11" width="11.5" bestFit="1" customWidth="1"/>
    <col min="12" max="12" width="14.83203125" bestFit="1" customWidth="1"/>
    <col min="13" max="13" width="18.6640625" bestFit="1" customWidth="1"/>
    <col min="14" max="14" width="35.83203125" bestFit="1" customWidth="1"/>
    <col min="15" max="15" width="20.1640625" bestFit="1" customWidth="1"/>
    <col min="16" max="16" width="15.5" bestFit="1" customWidth="1"/>
    <col min="17" max="17" width="9.5" bestFit="1" customWidth="1"/>
    <col min="18" max="18" width="3" bestFit="1" customWidth="1"/>
    <col min="19" max="19" width="6.1640625" customWidth="1"/>
    <col min="20" max="20" width="14.5" bestFit="1" customWidth="1"/>
    <col min="21" max="21" width="15.5" bestFit="1" customWidth="1"/>
    <col min="22" max="22" width="8.5" bestFit="1" customWidth="1"/>
    <col min="23" max="23" width="2.1640625" bestFit="1" customWidth="1"/>
    <col min="24" max="24" width="4.5" bestFit="1" customWidth="1"/>
    <col min="25" max="25" width="8.5" customWidth="1"/>
    <col min="26" max="26" width="4" customWidth="1"/>
    <col min="27" max="27" width="11.5" customWidth="1"/>
    <col min="28" max="28" width="3.83203125" customWidth="1"/>
    <col min="29" max="29" width="15.5" bestFit="1" customWidth="1"/>
    <col min="30" max="30" width="10" bestFit="1" customWidth="1"/>
    <col min="31" max="31" width="2.1640625" bestFit="1" customWidth="1"/>
    <col min="32" max="32" width="10.5" bestFit="1" customWidth="1"/>
    <col min="33" max="33" width="4" customWidth="1"/>
    <col min="34" max="34" width="15.5" bestFit="1" customWidth="1"/>
    <col min="35" max="35" width="9.5" bestFit="1" customWidth="1"/>
    <col min="36" max="36" width="2.1640625" bestFit="1" customWidth="1"/>
    <col min="46" max="47" width="8.83203125" bestFit="1" customWidth="1"/>
    <col min="48" max="48" width="11.83203125" bestFit="1" customWidth="1"/>
    <col min="49" max="53" width="8.83203125" bestFit="1" customWidth="1"/>
    <col min="54" max="54" width="11.83203125" bestFit="1" customWidth="1"/>
    <col min="55" max="55" width="10.83203125" bestFit="1" customWidth="1"/>
    <col min="56" max="59" width="8.83203125" bestFit="1" customWidth="1"/>
    <col min="60" max="61" width="10.83203125" bestFit="1" customWidth="1"/>
  </cols>
  <sheetData>
    <row r="1" spans="1:32" ht="26" x14ac:dyDescent="0.3">
      <c r="A1" s="17"/>
      <c r="B1" s="76" t="s">
        <v>33</v>
      </c>
      <c r="C1" s="77"/>
      <c r="D1" s="77"/>
      <c r="E1" s="77"/>
      <c r="F1" s="77"/>
      <c r="G1" s="77"/>
      <c r="H1" s="77"/>
      <c r="I1" s="77"/>
      <c r="J1" s="78"/>
      <c r="K1" s="79"/>
      <c r="L1" s="17"/>
      <c r="M1" s="301"/>
      <c r="N1" s="301"/>
      <c r="O1" s="301"/>
      <c r="P1" s="21"/>
      <c r="Q1" s="17"/>
      <c r="R1" s="17"/>
      <c r="S1" s="17"/>
      <c r="T1" s="17"/>
      <c r="U1" s="17"/>
      <c r="V1" s="17"/>
      <c r="W1" s="17"/>
      <c r="X1" s="17"/>
      <c r="Y1" s="17"/>
    </row>
    <row r="2" spans="1:32" x14ac:dyDescent="0.2">
      <c r="A2" s="17"/>
      <c r="B2" s="80" t="s">
        <v>0</v>
      </c>
      <c r="C2" s="149" t="s">
        <v>1</v>
      </c>
      <c r="D2" s="81" t="s">
        <v>44</v>
      </c>
      <c r="E2" s="148" t="s">
        <v>53</v>
      </c>
      <c r="F2" s="146"/>
      <c r="G2" s="21"/>
      <c r="J2" s="21"/>
      <c r="K2" s="82"/>
      <c r="L2" s="17"/>
      <c r="M2" s="21"/>
      <c r="N2" s="21"/>
      <c r="O2" s="21"/>
      <c r="P2" s="21"/>
      <c r="Q2" s="17"/>
      <c r="R2" s="17"/>
      <c r="S2" s="17"/>
      <c r="T2" s="17"/>
      <c r="U2" s="17"/>
      <c r="V2" s="118"/>
      <c r="W2" s="118"/>
      <c r="X2" s="118"/>
      <c r="Y2" s="118"/>
      <c r="Z2" s="4"/>
      <c r="AA2" s="4"/>
      <c r="AB2" s="4"/>
      <c r="AC2" s="4"/>
      <c r="AD2" s="4"/>
      <c r="AE2" s="4"/>
      <c r="AF2" s="4"/>
    </row>
    <row r="3" spans="1:32" ht="16" thickBot="1" x14ac:dyDescent="0.25">
      <c r="A3" s="17"/>
      <c r="B3" s="172" t="s">
        <v>2</v>
      </c>
      <c r="C3" s="174">
        <v>1.6500000000000001E-2</v>
      </c>
      <c r="D3" s="177">
        <v>530000</v>
      </c>
      <c r="E3" s="177">
        <f>1/C3</f>
        <v>60.606060606060602</v>
      </c>
      <c r="F3" s="147"/>
      <c r="G3" s="21"/>
      <c r="H3" s="21"/>
      <c r="K3" s="82"/>
      <c r="L3" s="17"/>
      <c r="M3" s="21"/>
      <c r="N3" s="17"/>
      <c r="O3" s="21"/>
      <c r="P3" s="21"/>
      <c r="Q3" s="17"/>
      <c r="R3" s="17"/>
      <c r="S3" s="17"/>
      <c r="T3" s="17"/>
      <c r="U3" s="17"/>
      <c r="V3" s="118"/>
      <c r="W3" s="118"/>
      <c r="X3" s="118"/>
      <c r="Y3" s="118"/>
      <c r="Z3" s="4"/>
      <c r="AA3" s="4"/>
      <c r="AB3" s="4"/>
      <c r="AC3" s="4"/>
      <c r="AD3" s="4"/>
      <c r="AE3" s="4"/>
      <c r="AF3" s="4"/>
    </row>
    <row r="4" spans="1:32" ht="20" thickBot="1" x14ac:dyDescent="0.3">
      <c r="A4" s="17"/>
      <c r="B4" s="173" t="s">
        <v>3</v>
      </c>
      <c r="C4" s="175">
        <v>2.1999999999999999E-2</v>
      </c>
      <c r="D4" s="176">
        <v>920000</v>
      </c>
      <c r="E4" s="176">
        <f>1/C4</f>
        <v>45.45454545454546</v>
      </c>
      <c r="F4" s="147"/>
      <c r="G4" s="83"/>
      <c r="H4" s="155" t="s">
        <v>4</v>
      </c>
      <c r="I4" s="156">
        <v>3300000000</v>
      </c>
      <c r="J4" s="21"/>
      <c r="K4" s="82"/>
      <c r="L4" s="17"/>
      <c r="M4" s="21"/>
      <c r="N4" s="21"/>
      <c r="O4" s="21"/>
      <c r="P4" s="21"/>
      <c r="Q4" s="17"/>
      <c r="R4" s="17"/>
      <c r="S4" s="17"/>
      <c r="T4" s="17"/>
      <c r="U4" s="17"/>
      <c r="V4" s="118"/>
      <c r="W4" s="135"/>
      <c r="X4" s="118"/>
      <c r="Y4" s="118"/>
      <c r="Z4" s="118"/>
      <c r="AA4" s="118"/>
      <c r="AB4" s="118"/>
      <c r="AC4" s="118"/>
      <c r="AD4" s="118"/>
      <c r="AE4" s="4"/>
      <c r="AF4" s="4"/>
    </row>
    <row r="5" spans="1:32" ht="16" thickBot="1" x14ac:dyDescent="0.25">
      <c r="A5" s="17"/>
      <c r="B5" s="84"/>
      <c r="C5" s="21"/>
      <c r="D5" s="21"/>
      <c r="E5" s="21"/>
      <c r="F5" s="21"/>
      <c r="G5" s="21"/>
      <c r="H5" s="21"/>
      <c r="I5" s="21"/>
      <c r="J5" s="21"/>
      <c r="K5" s="82"/>
      <c r="L5" s="17"/>
      <c r="M5" s="21"/>
      <c r="N5" s="21"/>
      <c r="O5" s="21"/>
      <c r="P5" s="21"/>
      <c r="Q5" s="17"/>
      <c r="R5" s="17"/>
      <c r="S5" s="17"/>
      <c r="T5" s="17"/>
      <c r="U5" s="17"/>
      <c r="V5" s="118"/>
      <c r="W5" s="136"/>
      <c r="X5" s="118"/>
      <c r="Y5" s="118"/>
      <c r="Z5" s="118"/>
      <c r="AA5" s="118"/>
      <c r="AB5" s="118"/>
      <c r="AC5" s="118"/>
      <c r="AD5" s="118"/>
      <c r="AE5" s="4"/>
      <c r="AF5" s="4"/>
    </row>
    <row r="6" spans="1:32" ht="27" thickBot="1" x14ac:dyDescent="0.35">
      <c r="A6" s="85"/>
      <c r="B6" s="84"/>
      <c r="C6" s="21"/>
      <c r="D6" s="21"/>
      <c r="E6" s="380" t="s">
        <v>42</v>
      </c>
      <c r="F6" s="381"/>
      <c r="G6" s="381"/>
      <c r="H6" s="381"/>
      <c r="I6" s="381"/>
      <c r="J6" s="381"/>
      <c r="K6" s="382"/>
      <c r="L6" s="17"/>
      <c r="M6" s="338" t="s">
        <v>319</v>
      </c>
      <c r="N6" s="339"/>
      <c r="O6" s="340"/>
      <c r="P6" s="21"/>
      <c r="Q6" s="17"/>
      <c r="R6" s="17"/>
      <c r="S6" s="17"/>
      <c r="T6" s="17"/>
      <c r="U6" s="17"/>
      <c r="V6" s="118"/>
      <c r="W6" s="136"/>
      <c r="X6" s="118"/>
      <c r="Y6" s="118"/>
      <c r="Z6" s="118"/>
      <c r="AA6" s="118"/>
      <c r="AB6" s="118"/>
      <c r="AC6" s="118"/>
      <c r="AD6" s="118"/>
      <c r="AE6" s="4"/>
      <c r="AF6" s="4"/>
    </row>
    <row r="7" spans="1:32" ht="16" thickBot="1" x14ac:dyDescent="0.25">
      <c r="A7" s="85"/>
      <c r="B7" s="86"/>
      <c r="C7" s="21"/>
      <c r="D7" s="21"/>
      <c r="E7" s="150" t="s">
        <v>5</v>
      </c>
      <c r="F7" s="151" t="s">
        <v>6</v>
      </c>
      <c r="G7" s="25" t="s">
        <v>7</v>
      </c>
      <c r="H7" s="26" t="s">
        <v>8</v>
      </c>
      <c r="I7" s="27" t="s">
        <v>9</v>
      </c>
      <c r="J7" s="216" t="s">
        <v>10</v>
      </c>
      <c r="K7" s="152" t="s">
        <v>11</v>
      </c>
      <c r="L7" s="17"/>
      <c r="M7" s="21"/>
      <c r="N7" s="21"/>
      <c r="O7" s="21"/>
      <c r="P7" s="21"/>
      <c r="Q7" s="17"/>
      <c r="R7" s="17"/>
      <c r="S7" s="17"/>
      <c r="T7" s="17"/>
      <c r="U7" s="17"/>
      <c r="V7" s="118"/>
      <c r="W7" s="137"/>
      <c r="X7" s="138"/>
      <c r="Y7" s="118"/>
      <c r="Z7" s="118"/>
      <c r="AA7" s="118"/>
      <c r="AB7" s="118"/>
      <c r="AC7" s="118"/>
      <c r="AD7" s="118"/>
      <c r="AE7" s="4"/>
      <c r="AF7" s="4"/>
    </row>
    <row r="8" spans="1:32" x14ac:dyDescent="0.2">
      <c r="A8" s="85"/>
      <c r="B8" s="87"/>
      <c r="C8" s="383" t="s">
        <v>35</v>
      </c>
      <c r="D8" s="384"/>
      <c r="E8" s="264">
        <v>1.44</v>
      </c>
      <c r="F8" s="265">
        <v>1.44</v>
      </c>
      <c r="G8" s="264">
        <v>6.13E-2</v>
      </c>
      <c r="H8" s="215">
        <v>6.13E-2</v>
      </c>
      <c r="I8" s="265">
        <v>6.13E-2</v>
      </c>
      <c r="J8" s="266">
        <v>2.8500000000000001E-2</v>
      </c>
      <c r="K8" s="153">
        <v>7.0000000000000001E-3</v>
      </c>
      <c r="L8" s="17"/>
      <c r="M8" s="21"/>
      <c r="N8" s="21"/>
      <c r="O8" s="21"/>
      <c r="P8" s="21"/>
      <c r="Q8" s="17"/>
      <c r="R8" s="17"/>
      <c r="S8" s="17"/>
      <c r="T8" s="17"/>
      <c r="U8" s="17"/>
      <c r="V8" s="118"/>
      <c r="W8" s="118"/>
      <c r="X8" s="118"/>
      <c r="Y8" s="118"/>
      <c r="Z8" s="4"/>
      <c r="AA8" s="4"/>
      <c r="AB8" s="4"/>
      <c r="AC8" s="4"/>
      <c r="AD8" s="4"/>
      <c r="AE8" s="4"/>
      <c r="AF8" s="4"/>
    </row>
    <row r="9" spans="1:32" x14ac:dyDescent="0.2">
      <c r="A9" s="85"/>
      <c r="B9" s="86"/>
      <c r="C9" s="385" t="s">
        <v>63</v>
      </c>
      <c r="D9" s="386"/>
      <c r="E9" s="398">
        <v>53000</v>
      </c>
      <c r="F9" s="399"/>
      <c r="G9" s="402">
        <v>79500</v>
      </c>
      <c r="H9" s="403"/>
      <c r="I9" s="404"/>
      <c r="J9" s="266">
        <v>79500</v>
      </c>
      <c r="K9" s="153">
        <v>0</v>
      </c>
      <c r="L9" s="17"/>
      <c r="M9" s="21"/>
      <c r="N9" s="21"/>
      <c r="O9" s="21"/>
      <c r="P9" s="21"/>
      <c r="Q9" s="17"/>
      <c r="R9" s="17"/>
      <c r="S9" s="17"/>
      <c r="T9" s="17"/>
      <c r="U9" s="17"/>
      <c r="V9" s="118"/>
      <c r="W9" s="118"/>
      <c r="X9" s="118"/>
      <c r="Y9" s="118"/>
      <c r="Z9" s="4"/>
      <c r="AA9" s="4"/>
      <c r="AB9" s="4"/>
      <c r="AC9" s="4"/>
      <c r="AD9" s="4"/>
      <c r="AE9" s="4"/>
      <c r="AF9" s="4"/>
    </row>
    <row r="10" spans="1:32" ht="16" thickBot="1" x14ac:dyDescent="0.25">
      <c r="A10" s="85"/>
      <c r="B10" s="84"/>
      <c r="C10" s="387" t="s">
        <v>64</v>
      </c>
      <c r="D10" s="388"/>
      <c r="E10" s="400">
        <v>46000</v>
      </c>
      <c r="F10" s="401"/>
      <c r="G10" s="368">
        <v>92000</v>
      </c>
      <c r="H10" s="369"/>
      <c r="I10" s="370"/>
      <c r="J10" s="256">
        <v>138000</v>
      </c>
      <c r="K10" s="154">
        <v>0</v>
      </c>
      <c r="L10" s="17"/>
      <c r="M10" s="21"/>
      <c r="N10" s="17"/>
      <c r="O10" s="21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32" ht="16" thickBot="1" x14ac:dyDescent="0.25">
      <c r="A11" s="85"/>
      <c r="B11" s="84"/>
      <c r="C11" s="21"/>
      <c r="D11" s="21"/>
      <c r="E11" s="21"/>
      <c r="F11" s="21"/>
      <c r="G11" s="21"/>
      <c r="H11" s="21"/>
      <c r="I11" s="21"/>
      <c r="J11" s="21"/>
      <c r="K11" s="82"/>
      <c r="L11" s="17"/>
      <c r="M11" s="21"/>
      <c r="N11" s="88"/>
      <c r="O11" s="21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32" ht="20" thickBot="1" x14ac:dyDescent="0.3">
      <c r="A12" s="85"/>
      <c r="B12" s="84"/>
      <c r="C12" s="21"/>
      <c r="D12" s="21"/>
      <c r="E12" s="389" t="s">
        <v>39</v>
      </c>
      <c r="F12" s="390"/>
      <c r="G12" s="390"/>
      <c r="H12" s="390"/>
      <c r="I12" s="390"/>
      <c r="J12" s="390"/>
      <c r="K12" s="391"/>
      <c r="M12" s="374" t="s">
        <v>58</v>
      </c>
      <c r="N12" s="375"/>
      <c r="O12" s="376"/>
      <c r="P12" s="21"/>
      <c r="Q12" s="17"/>
      <c r="R12" s="17"/>
      <c r="S12" s="17"/>
      <c r="T12" s="17"/>
      <c r="X12" s="17"/>
      <c r="Y12" s="17"/>
    </row>
    <row r="13" spans="1:32" ht="30" customHeight="1" x14ac:dyDescent="0.2">
      <c r="A13" s="85"/>
      <c r="B13" s="89" t="s">
        <v>43</v>
      </c>
      <c r="C13" s="81" t="s">
        <v>14</v>
      </c>
      <c r="D13" s="90" t="s">
        <v>15</v>
      </c>
      <c r="E13" s="165" t="s">
        <v>5</v>
      </c>
      <c r="F13" s="163" t="s">
        <v>6</v>
      </c>
      <c r="G13" s="164" t="s">
        <v>7</v>
      </c>
      <c r="H13" s="163" t="s">
        <v>8</v>
      </c>
      <c r="I13" s="163" t="s">
        <v>9</v>
      </c>
      <c r="J13" s="163" t="s">
        <v>10</v>
      </c>
      <c r="K13" s="166" t="s">
        <v>11</v>
      </c>
      <c r="M13" s="157"/>
      <c r="N13" s="162" t="s">
        <v>56</v>
      </c>
      <c r="O13" s="161" t="s">
        <v>57</v>
      </c>
      <c r="P13" s="21"/>
      <c r="Q13" s="17"/>
      <c r="R13" s="17"/>
      <c r="S13" s="17"/>
      <c r="T13" s="17"/>
      <c r="X13" s="17"/>
      <c r="Y13" s="17"/>
    </row>
    <row r="14" spans="1:32" x14ac:dyDescent="0.2">
      <c r="A14" s="85"/>
      <c r="B14" s="36" t="s">
        <v>16</v>
      </c>
      <c r="C14" s="37">
        <v>2508</v>
      </c>
      <c r="D14" s="231">
        <v>1818</v>
      </c>
      <c r="E14" s="232">
        <f>64400</f>
        <v>64400</v>
      </c>
      <c r="F14" s="233">
        <f>70840</f>
        <v>70840</v>
      </c>
      <c r="G14" s="231">
        <f>6182.4</f>
        <v>6182.4</v>
      </c>
      <c r="H14" s="233">
        <f>5216.4</f>
        <v>5216.3999999999996</v>
      </c>
      <c r="I14" s="233">
        <f>4830</f>
        <v>4830</v>
      </c>
      <c r="J14" s="233">
        <f>4250.4</f>
        <v>4250.3999999999996</v>
      </c>
      <c r="K14" s="234">
        <f>3091.2</f>
        <v>3091.2</v>
      </c>
      <c r="M14" s="129" t="s">
        <v>16</v>
      </c>
      <c r="N14" s="132">
        <f t="shared" ref="N14:N22" si="0">M38*D14</f>
        <v>963540000</v>
      </c>
      <c r="O14" s="133">
        <f>SUMPRODUCT(E14:K14,E38:K38)*C3</f>
        <v>84448541.100000009</v>
      </c>
      <c r="P14" s="21"/>
      <c r="Q14" s="17"/>
      <c r="R14" s="88"/>
      <c r="S14" s="17"/>
      <c r="T14" s="17"/>
      <c r="U14" s="17"/>
      <c r="V14" s="17"/>
      <c r="W14" s="17"/>
      <c r="X14" s="17"/>
      <c r="Y14" s="17"/>
    </row>
    <row r="15" spans="1:32" x14ac:dyDescent="0.2">
      <c r="A15" s="85"/>
      <c r="B15" s="42" t="s">
        <v>17</v>
      </c>
      <c r="C15" s="43">
        <v>1553</v>
      </c>
      <c r="D15" s="235">
        <v>1996.4</v>
      </c>
      <c r="E15" s="236">
        <f>115920</f>
        <v>115920</v>
      </c>
      <c r="F15" s="237">
        <f>127512</f>
        <v>127512</v>
      </c>
      <c r="G15" s="235">
        <f>7084</f>
        <v>7084</v>
      </c>
      <c r="H15" s="237">
        <f>5796</f>
        <v>5796</v>
      </c>
      <c r="I15" s="237">
        <f>5667.2</f>
        <v>5667.2</v>
      </c>
      <c r="J15" s="237">
        <f>5796</f>
        <v>5796</v>
      </c>
      <c r="K15" s="238">
        <f>2704.8</f>
        <v>2704.8</v>
      </c>
      <c r="M15" s="130" t="s">
        <v>17</v>
      </c>
      <c r="N15" s="132">
        <f t="shared" si="0"/>
        <v>0</v>
      </c>
      <c r="O15" s="133">
        <f>SUMPRODUCT(E15:K15,E39:K39)*C3</f>
        <v>0</v>
      </c>
      <c r="P15" s="21"/>
      <c r="Q15" s="17"/>
      <c r="R15" s="88"/>
      <c r="S15" s="17"/>
      <c r="T15" s="17"/>
      <c r="U15" s="17"/>
      <c r="V15" s="17"/>
      <c r="W15" s="17"/>
      <c r="X15" s="17"/>
      <c r="Y15" s="17"/>
    </row>
    <row r="16" spans="1:32" x14ac:dyDescent="0.2">
      <c r="A16" s="85"/>
      <c r="B16" s="48" t="s">
        <v>18</v>
      </c>
      <c r="C16" s="49">
        <v>2508</v>
      </c>
      <c r="D16" s="239">
        <v>1983.4</v>
      </c>
      <c r="E16" s="240">
        <f>64400</f>
        <v>64400</v>
      </c>
      <c r="F16" s="241">
        <f>70840</f>
        <v>70840</v>
      </c>
      <c r="G16" s="239">
        <f>6182.4</f>
        <v>6182.4</v>
      </c>
      <c r="H16" s="241">
        <f>5216.4</f>
        <v>5216.3999999999996</v>
      </c>
      <c r="I16" s="241">
        <f>4830</f>
        <v>4830</v>
      </c>
      <c r="J16" s="241">
        <f>4250.4</f>
        <v>4250.3999999999996</v>
      </c>
      <c r="K16" s="242">
        <f>3091.2</f>
        <v>3091.2</v>
      </c>
      <c r="M16" s="263" t="s">
        <v>18</v>
      </c>
      <c r="N16" s="132">
        <f t="shared" si="0"/>
        <v>396680000</v>
      </c>
      <c r="O16" s="133">
        <f t="shared" ref="O16:O22" si="1">SUMPRODUCT(E16:K16,E40:K40)*$C$4</f>
        <v>13602283.094399998</v>
      </c>
      <c r="P16" s="17"/>
      <c r="Q16" s="17"/>
      <c r="R16" s="17"/>
      <c r="S16" s="17"/>
      <c r="T16" s="88"/>
      <c r="U16" s="17"/>
      <c r="V16" s="17"/>
      <c r="W16" s="17"/>
      <c r="X16" s="17"/>
      <c r="Y16" s="17"/>
    </row>
    <row r="17" spans="1:39" x14ac:dyDescent="0.2">
      <c r="A17" s="85"/>
      <c r="B17" s="48" t="s">
        <v>19</v>
      </c>
      <c r="C17" s="49">
        <v>1553</v>
      </c>
      <c r="D17" s="239">
        <v>2254</v>
      </c>
      <c r="E17" s="240">
        <f>115920</f>
        <v>115920</v>
      </c>
      <c r="F17" s="241">
        <f>127512</f>
        <v>127512</v>
      </c>
      <c r="G17" s="239">
        <f>7084</f>
        <v>7084</v>
      </c>
      <c r="H17" s="241">
        <f>5796</f>
        <v>5796</v>
      </c>
      <c r="I17" s="241">
        <f>5667.2</f>
        <v>5667.2</v>
      </c>
      <c r="J17" s="241">
        <f>5796</f>
        <v>5796</v>
      </c>
      <c r="K17" s="243">
        <f>2704.8</f>
        <v>2704.8</v>
      </c>
      <c r="M17" s="263" t="s">
        <v>19</v>
      </c>
      <c r="N17" s="132">
        <f t="shared" si="0"/>
        <v>0</v>
      </c>
      <c r="O17" s="133">
        <f t="shared" si="1"/>
        <v>0</v>
      </c>
      <c r="P17" s="17"/>
      <c r="Q17" s="17"/>
      <c r="R17" s="17"/>
      <c r="S17" s="17"/>
      <c r="T17" s="88"/>
      <c r="U17" s="17"/>
      <c r="V17" s="17"/>
      <c r="W17" s="17"/>
      <c r="X17" s="17"/>
      <c r="Y17" s="17"/>
    </row>
    <row r="18" spans="1:39" x14ac:dyDescent="0.2">
      <c r="A18" s="85"/>
      <c r="B18" s="48" t="s">
        <v>20</v>
      </c>
      <c r="C18" s="49">
        <v>1380</v>
      </c>
      <c r="D18" s="239">
        <v>2582.4</v>
      </c>
      <c r="E18" s="240">
        <f>103040</f>
        <v>103040</v>
      </c>
      <c r="F18" s="241">
        <f>113344</f>
        <v>113344</v>
      </c>
      <c r="G18" s="239">
        <f>7084</f>
        <v>7084</v>
      </c>
      <c r="H18" s="241">
        <f>5796</f>
        <v>5796</v>
      </c>
      <c r="I18" s="241">
        <f>5667.2</f>
        <v>5667.2</v>
      </c>
      <c r="J18" s="241">
        <f>5796</f>
        <v>5796</v>
      </c>
      <c r="K18" s="242">
        <f>3284.4</f>
        <v>3284.4</v>
      </c>
      <c r="M18" s="263" t="s">
        <v>20</v>
      </c>
      <c r="N18" s="132">
        <f t="shared" si="0"/>
        <v>0</v>
      </c>
      <c r="O18" s="133">
        <f t="shared" si="1"/>
        <v>0</v>
      </c>
      <c r="P18" s="17"/>
      <c r="Q18" s="17"/>
      <c r="R18" s="17"/>
      <c r="S18" s="17"/>
      <c r="T18" s="88"/>
      <c r="U18" s="17"/>
      <c r="V18" s="17"/>
      <c r="W18" s="17"/>
      <c r="X18" s="17"/>
      <c r="Y18" s="17"/>
      <c r="AJ18" s="3"/>
      <c r="AK18" s="3"/>
      <c r="AL18" s="3"/>
      <c r="AM18" s="3"/>
    </row>
    <row r="19" spans="1:39" x14ac:dyDescent="0.2">
      <c r="A19" s="85"/>
      <c r="B19" s="48" t="s">
        <v>21</v>
      </c>
      <c r="C19" s="49">
        <v>2150</v>
      </c>
      <c r="D19" s="239">
        <v>1976.1</v>
      </c>
      <c r="E19" s="240">
        <f>64400</f>
        <v>64400</v>
      </c>
      <c r="F19" s="241">
        <f>70840</f>
        <v>70840</v>
      </c>
      <c r="G19" s="239">
        <f>6182.4</f>
        <v>6182.4</v>
      </c>
      <c r="H19" s="241">
        <f>5280.8</f>
        <v>5280.8</v>
      </c>
      <c r="I19" s="241">
        <f>5216.4</f>
        <v>5216.3999999999996</v>
      </c>
      <c r="J19" s="241">
        <f>4250.4</f>
        <v>4250.3999999999996</v>
      </c>
      <c r="K19" s="242">
        <f>3091.2</f>
        <v>3091.2</v>
      </c>
      <c r="M19" s="263" t="s">
        <v>21</v>
      </c>
      <c r="N19" s="132">
        <f t="shared" si="0"/>
        <v>1027572000</v>
      </c>
      <c r="O19" s="133">
        <f t="shared" si="1"/>
        <v>75976254.200000003</v>
      </c>
      <c r="P19" s="17"/>
      <c r="Q19" s="21"/>
      <c r="R19" s="17"/>
      <c r="S19" s="17"/>
      <c r="T19" s="88"/>
      <c r="U19" s="17"/>
      <c r="V19" s="17"/>
      <c r="W19" s="17"/>
      <c r="X19" s="17"/>
      <c r="Y19" s="17"/>
      <c r="AJ19" s="3"/>
      <c r="AK19" s="3"/>
      <c r="AL19" s="3"/>
      <c r="AM19" s="3"/>
    </row>
    <row r="20" spans="1:39" x14ac:dyDescent="0.2">
      <c r="A20" s="85"/>
      <c r="B20" s="48" t="s">
        <v>22</v>
      </c>
      <c r="C20" s="55">
        <v>30</v>
      </c>
      <c r="D20" s="239">
        <v>2711.3</v>
      </c>
      <c r="E20" s="244">
        <v>0</v>
      </c>
      <c r="F20" s="245">
        <v>0</v>
      </c>
      <c r="G20" s="239">
        <f>9660</f>
        <v>9660</v>
      </c>
      <c r="H20" s="241">
        <f>9016</f>
        <v>9016</v>
      </c>
      <c r="I20" s="241">
        <f>8694</f>
        <v>8694</v>
      </c>
      <c r="J20" s="245">
        <v>0</v>
      </c>
      <c r="K20" s="246">
        <v>0</v>
      </c>
      <c r="M20" s="263" t="s">
        <v>22</v>
      </c>
      <c r="N20" s="132">
        <f t="shared" si="0"/>
        <v>0</v>
      </c>
      <c r="O20" s="133">
        <f t="shared" si="1"/>
        <v>0</v>
      </c>
      <c r="P20" s="17"/>
      <c r="Q20" s="21"/>
      <c r="R20" s="17"/>
      <c r="S20" s="17"/>
      <c r="T20" s="17"/>
      <c r="U20" s="17"/>
      <c r="V20" s="17"/>
      <c r="W20" s="17"/>
      <c r="X20" s="17"/>
      <c r="Y20" s="17"/>
      <c r="AJ20" s="3"/>
      <c r="AK20" s="3"/>
      <c r="AL20" s="3"/>
      <c r="AM20" s="3"/>
    </row>
    <row r="21" spans="1:39" x14ac:dyDescent="0.2">
      <c r="A21" s="85"/>
      <c r="B21" s="48" t="s">
        <v>24</v>
      </c>
      <c r="C21" s="55">
        <v>690</v>
      </c>
      <c r="D21" s="239">
        <v>2704.8</v>
      </c>
      <c r="E21" s="240">
        <f>135240</f>
        <v>135240</v>
      </c>
      <c r="F21" s="241">
        <f>148120</f>
        <v>148120</v>
      </c>
      <c r="G21" s="247">
        <v>0</v>
      </c>
      <c r="H21" s="245">
        <v>0</v>
      </c>
      <c r="I21" s="245">
        <v>0</v>
      </c>
      <c r="J21" s="245">
        <v>0</v>
      </c>
      <c r="K21" s="242">
        <f>3413.2</f>
        <v>3413.2</v>
      </c>
      <c r="M21" s="263" t="s">
        <v>24</v>
      </c>
      <c r="N21" s="132">
        <f t="shared" si="0"/>
        <v>0</v>
      </c>
      <c r="O21" s="133">
        <f t="shared" si="1"/>
        <v>0</v>
      </c>
      <c r="P21" s="17"/>
      <c r="Q21" s="21"/>
      <c r="R21" s="17"/>
      <c r="S21" s="17"/>
      <c r="T21" s="88"/>
      <c r="U21" s="17"/>
      <c r="V21" s="17"/>
      <c r="W21" s="17"/>
      <c r="X21" s="17"/>
      <c r="Y21" s="17"/>
      <c r="AJ21" s="3"/>
      <c r="AK21" s="3"/>
      <c r="AL21" s="3"/>
      <c r="AM21" s="3"/>
    </row>
    <row r="22" spans="1:39" ht="16" thickBot="1" x14ac:dyDescent="0.25">
      <c r="A22" s="85"/>
      <c r="B22" s="60" t="s">
        <v>25</v>
      </c>
      <c r="C22" s="61">
        <v>686</v>
      </c>
      <c r="D22" s="248">
        <v>2125.1999999999998</v>
      </c>
      <c r="E22" s="249">
        <f>103040</f>
        <v>103040</v>
      </c>
      <c r="F22" s="250">
        <f>112700</f>
        <v>112700</v>
      </c>
      <c r="G22" s="248">
        <f>7084</f>
        <v>7084</v>
      </c>
      <c r="H22" s="250">
        <f>5796</f>
        <v>5796</v>
      </c>
      <c r="I22" s="250">
        <f>5538.4</f>
        <v>5538.4</v>
      </c>
      <c r="J22" s="250">
        <f>5860.4</f>
        <v>5860.4</v>
      </c>
      <c r="K22" s="251">
        <f>2769.2</f>
        <v>2769.2</v>
      </c>
      <c r="M22" s="131" t="s">
        <v>25</v>
      </c>
      <c r="N22" s="134">
        <f t="shared" si="0"/>
        <v>425039999.99999994</v>
      </c>
      <c r="O22" s="209">
        <f t="shared" si="1"/>
        <v>60025082.471199997</v>
      </c>
      <c r="P22" s="17"/>
      <c r="Q22" s="17"/>
      <c r="R22" s="17"/>
      <c r="S22" s="17"/>
      <c r="T22" s="88"/>
      <c r="U22" s="17"/>
      <c r="V22" s="17"/>
      <c r="W22" s="17"/>
      <c r="X22" s="17"/>
      <c r="Y22" s="17"/>
      <c r="AJ22" s="3"/>
      <c r="AK22" s="3"/>
      <c r="AL22" s="3"/>
      <c r="AM22" s="3"/>
    </row>
    <row r="23" spans="1:39" ht="22" thickBot="1" x14ac:dyDescent="0.3">
      <c r="A23" s="85"/>
      <c r="B23" s="17"/>
      <c r="C23" s="17"/>
      <c r="D23" s="17"/>
      <c r="E23" s="17"/>
      <c r="F23" s="17"/>
      <c r="G23" s="17"/>
      <c r="H23" s="17"/>
      <c r="I23" s="17"/>
      <c r="J23" s="17"/>
      <c r="K23" s="17"/>
      <c r="M23" s="213" t="s">
        <v>38</v>
      </c>
      <c r="N23" s="214">
        <f>SUM(N14:O22)</f>
        <v>3046884160.8655996</v>
      </c>
      <c r="O23" s="145"/>
      <c r="Q23" s="17"/>
      <c r="R23" s="17"/>
      <c r="S23" s="17"/>
      <c r="T23" s="17"/>
      <c r="U23" s="17"/>
      <c r="V23" s="17"/>
      <c r="W23" s="17"/>
      <c r="X23" s="17"/>
      <c r="Y23" s="17"/>
      <c r="AH23" s="1"/>
      <c r="AJ23" s="3"/>
      <c r="AK23" s="3"/>
      <c r="AL23" s="8"/>
      <c r="AM23" s="3"/>
    </row>
    <row r="24" spans="1:39" ht="15" customHeight="1" x14ac:dyDescent="0.2">
      <c r="A24" s="85"/>
      <c r="B24" s="17"/>
      <c r="C24" s="405" t="s">
        <v>329</v>
      </c>
      <c r="D24" s="30" t="s">
        <v>43</v>
      </c>
      <c r="E24" s="218" t="s">
        <v>5</v>
      </c>
      <c r="F24" s="225" t="s">
        <v>6</v>
      </c>
      <c r="G24" s="218" t="s">
        <v>7</v>
      </c>
      <c r="H24" s="225" t="s">
        <v>8</v>
      </c>
      <c r="I24" s="218" t="s">
        <v>9</v>
      </c>
      <c r="J24" s="218" t="s">
        <v>10</v>
      </c>
      <c r="K24" s="227" t="s">
        <v>11</v>
      </c>
      <c r="U24" s="17"/>
      <c r="V24" s="17"/>
      <c r="W24" s="17"/>
      <c r="X24" s="17"/>
      <c r="Y24" s="17"/>
      <c r="AH24" s="1"/>
      <c r="AJ24" s="3"/>
      <c r="AK24" s="3"/>
      <c r="AL24" s="10"/>
      <c r="AM24" s="3"/>
    </row>
    <row r="25" spans="1:39" ht="16" thickBot="1" x14ac:dyDescent="0.25">
      <c r="A25" s="85"/>
      <c r="B25" s="17"/>
      <c r="C25" s="406"/>
      <c r="D25" s="36" t="s">
        <v>16</v>
      </c>
      <c r="E25" s="226">
        <f t="shared" ref="E25:K25" si="2">$C$3*E8*$C$14</f>
        <v>59.59008</v>
      </c>
      <c r="F25" s="211">
        <f t="shared" si="2"/>
        <v>59.59008</v>
      </c>
      <c r="G25" s="226">
        <f t="shared" si="2"/>
        <v>2.5367166000000001</v>
      </c>
      <c r="H25" s="211">
        <f t="shared" si="2"/>
        <v>2.5367166000000001</v>
      </c>
      <c r="I25" s="226">
        <f t="shared" si="2"/>
        <v>2.5367166000000001</v>
      </c>
      <c r="J25" s="226">
        <f t="shared" si="2"/>
        <v>1.179387</v>
      </c>
      <c r="K25" s="125">
        <f t="shared" si="2"/>
        <v>0.28967399999999999</v>
      </c>
      <c r="S25" s="17"/>
      <c r="T25" s="17"/>
      <c r="U25" s="17"/>
      <c r="V25" s="17"/>
      <c r="W25" s="17"/>
      <c r="X25" s="17"/>
      <c r="Y25" s="17"/>
      <c r="AH25" s="1"/>
      <c r="AJ25" s="3"/>
      <c r="AK25" s="3"/>
      <c r="AL25" s="10"/>
      <c r="AM25" s="3"/>
    </row>
    <row r="26" spans="1:39" ht="20" thickBot="1" x14ac:dyDescent="0.3">
      <c r="A26" s="85"/>
      <c r="B26" s="17"/>
      <c r="C26" s="406"/>
      <c r="D26" s="42" t="s">
        <v>17</v>
      </c>
      <c r="E26" s="226">
        <f t="shared" ref="E26:K26" si="3">$C$3*E8*$C$15</f>
        <v>36.899279999999997</v>
      </c>
      <c r="F26" s="211">
        <f t="shared" si="3"/>
        <v>36.899279999999997</v>
      </c>
      <c r="G26" s="226">
        <f t="shared" si="3"/>
        <v>1.5707818500000001</v>
      </c>
      <c r="H26" s="211">
        <f t="shared" si="3"/>
        <v>1.5707818500000001</v>
      </c>
      <c r="I26" s="226">
        <f t="shared" si="3"/>
        <v>1.5707818500000001</v>
      </c>
      <c r="J26" s="226">
        <f t="shared" si="3"/>
        <v>0.73029825000000004</v>
      </c>
      <c r="K26" s="125">
        <f t="shared" si="3"/>
        <v>0.17937150000000002</v>
      </c>
      <c r="M26" s="374" t="s">
        <v>47</v>
      </c>
      <c r="N26" s="375"/>
      <c r="O26" s="376"/>
      <c r="S26" s="17"/>
      <c r="T26" s="17"/>
      <c r="U26" s="17"/>
      <c r="V26" s="17"/>
      <c r="W26" s="17"/>
      <c r="X26" s="17"/>
      <c r="Y26" s="17"/>
      <c r="AH26" s="1"/>
      <c r="AJ26" s="3"/>
      <c r="AK26" s="3"/>
      <c r="AL26" s="10"/>
      <c r="AM26" s="3"/>
    </row>
    <row r="27" spans="1:39" ht="16" thickBot="1" x14ac:dyDescent="0.25">
      <c r="A27" s="85"/>
      <c r="B27" s="17"/>
      <c r="C27" s="406"/>
      <c r="D27" s="48" t="s">
        <v>18</v>
      </c>
      <c r="E27" s="226">
        <f t="shared" ref="E27:K27" si="4">$C$4*E8*$C$16</f>
        <v>79.453440000000001</v>
      </c>
      <c r="F27" s="211">
        <f t="shared" si="4"/>
        <v>79.453440000000001</v>
      </c>
      <c r="G27" s="226">
        <f t="shared" si="4"/>
        <v>3.3822888</v>
      </c>
      <c r="H27" s="211">
        <f t="shared" si="4"/>
        <v>3.3822888</v>
      </c>
      <c r="I27" s="226">
        <f t="shared" si="4"/>
        <v>3.3822888</v>
      </c>
      <c r="J27" s="226">
        <f t="shared" si="4"/>
        <v>1.5725159999999998</v>
      </c>
      <c r="K27" s="125">
        <f t="shared" si="4"/>
        <v>0.38623200000000002</v>
      </c>
      <c r="M27" s="171">
        <f>N23-I4</f>
        <v>-253115839.13440037</v>
      </c>
      <c r="N27" s="258" t="s">
        <v>34</v>
      </c>
      <c r="O27" s="257">
        <v>0</v>
      </c>
      <c r="S27" s="17"/>
      <c r="T27" s="17"/>
      <c r="U27" s="17"/>
      <c r="V27" s="17"/>
      <c r="W27" s="17"/>
      <c r="X27" s="17"/>
      <c r="Y27" s="17"/>
      <c r="AJ27" s="3"/>
      <c r="AK27" s="3"/>
      <c r="AL27" s="10"/>
      <c r="AM27" s="3"/>
    </row>
    <row r="28" spans="1:39" ht="16" thickBot="1" x14ac:dyDescent="0.25">
      <c r="A28" s="85"/>
      <c r="B28" s="17"/>
      <c r="C28" s="407"/>
      <c r="D28" s="48" t="s">
        <v>19</v>
      </c>
      <c r="E28" s="222">
        <f t="shared" ref="E28:K28" si="5">$C$4*E8*$C$17</f>
        <v>49.199039999999997</v>
      </c>
      <c r="F28" s="262">
        <f t="shared" si="5"/>
        <v>49.199039999999997</v>
      </c>
      <c r="G28" s="222">
        <f t="shared" si="5"/>
        <v>2.0943757999999999</v>
      </c>
      <c r="H28" s="262">
        <f t="shared" si="5"/>
        <v>2.0943757999999999</v>
      </c>
      <c r="I28" s="222">
        <f t="shared" si="5"/>
        <v>2.0943757999999999</v>
      </c>
      <c r="J28" s="222">
        <f t="shared" si="5"/>
        <v>0.9737309999999999</v>
      </c>
      <c r="K28" s="261">
        <f t="shared" si="5"/>
        <v>0.23916200000000001</v>
      </c>
      <c r="L28" s="178"/>
      <c r="T28" s="17"/>
      <c r="U28" s="17"/>
      <c r="V28" s="17"/>
      <c r="W28" s="17"/>
      <c r="X28" s="118"/>
      <c r="Y28" s="118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0"/>
      <c r="AM28" s="3"/>
    </row>
    <row r="29" spans="1:39" ht="20" thickBot="1" x14ac:dyDescent="0.3">
      <c r="A29" s="85"/>
      <c r="B29" s="17"/>
      <c r="C29" s="17"/>
      <c r="D29" s="48" t="s">
        <v>20</v>
      </c>
      <c r="E29" s="222">
        <f>$C$4*E8*$C$18</f>
        <v>43.718400000000003</v>
      </c>
      <c r="F29" s="262">
        <f t="shared" ref="F29:K29" si="6">$C$4*F8*$C$18</f>
        <v>43.718400000000003</v>
      </c>
      <c r="G29" s="222">
        <f t="shared" si="6"/>
        <v>1.8610679999999999</v>
      </c>
      <c r="H29" s="262">
        <f t="shared" si="6"/>
        <v>1.8610679999999999</v>
      </c>
      <c r="I29" s="222">
        <f t="shared" si="6"/>
        <v>1.8610679999999999</v>
      </c>
      <c r="J29" s="222">
        <f t="shared" si="6"/>
        <v>0.86525999999999992</v>
      </c>
      <c r="K29" s="261">
        <f t="shared" si="6"/>
        <v>0.21252000000000001</v>
      </c>
      <c r="L29" s="178"/>
      <c r="M29" s="374" t="s">
        <v>45</v>
      </c>
      <c r="N29" s="375"/>
      <c r="O29" s="376"/>
      <c r="P29" s="217"/>
      <c r="T29" s="17"/>
      <c r="U29" s="17"/>
      <c r="V29" s="17"/>
      <c r="W29" s="17"/>
      <c r="X29" s="118"/>
      <c r="Y29" s="118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0"/>
      <c r="AM29" s="3"/>
    </row>
    <row r="30" spans="1:39" x14ac:dyDescent="0.2">
      <c r="A30" s="85"/>
      <c r="B30" s="17"/>
      <c r="C30" s="17"/>
      <c r="D30" s="48" t="s">
        <v>21</v>
      </c>
      <c r="E30" s="222">
        <f>$C$4*E8*$C$19</f>
        <v>68.111999999999995</v>
      </c>
      <c r="F30" s="262">
        <f t="shared" ref="F30:K30" si="7">$C$4*F8*$C$19</f>
        <v>68.111999999999995</v>
      </c>
      <c r="G30" s="222">
        <f t="shared" si="7"/>
        <v>2.8994899999999997</v>
      </c>
      <c r="H30" s="262">
        <f t="shared" si="7"/>
        <v>2.8994899999999997</v>
      </c>
      <c r="I30" s="222">
        <f t="shared" si="7"/>
        <v>2.8994899999999997</v>
      </c>
      <c r="J30" s="222">
        <f t="shared" si="7"/>
        <v>1.34805</v>
      </c>
      <c r="K30" s="261">
        <f t="shared" si="7"/>
        <v>0.33110000000000001</v>
      </c>
      <c r="L30" s="178"/>
      <c r="M30" s="392" t="s">
        <v>2</v>
      </c>
      <c r="N30" s="393"/>
      <c r="O30" s="394"/>
      <c r="P30" s="217"/>
      <c r="T30" s="17"/>
      <c r="U30" s="17"/>
      <c r="V30" s="17"/>
      <c r="W30" s="17"/>
      <c r="X30" s="118"/>
      <c r="Y30" s="118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0"/>
      <c r="AM30" s="3"/>
    </row>
    <row r="31" spans="1:39" x14ac:dyDescent="0.2">
      <c r="A31" s="85"/>
      <c r="B31" s="17"/>
      <c r="C31" s="17"/>
      <c r="D31" s="48" t="s">
        <v>22</v>
      </c>
      <c r="E31" s="222">
        <f>$C$4*E8*$C$20</f>
        <v>0.95040000000000002</v>
      </c>
      <c r="F31" s="262">
        <f t="shared" ref="F31:K31" si="8">$C$4*F8*$C$20</f>
        <v>0.95040000000000002</v>
      </c>
      <c r="G31" s="222">
        <f t="shared" si="8"/>
        <v>4.0458000000000001E-2</v>
      </c>
      <c r="H31" s="262">
        <f t="shared" si="8"/>
        <v>4.0458000000000001E-2</v>
      </c>
      <c r="I31" s="222">
        <f t="shared" si="8"/>
        <v>4.0458000000000001E-2</v>
      </c>
      <c r="J31" s="222">
        <f t="shared" si="8"/>
        <v>1.881E-2</v>
      </c>
      <c r="K31" s="261">
        <f t="shared" si="8"/>
        <v>4.62E-3</v>
      </c>
      <c r="L31" s="178"/>
      <c r="M31" s="92">
        <f>SUM(E38:K39)-D3</f>
        <v>0</v>
      </c>
      <c r="N31" s="262" t="s">
        <v>46</v>
      </c>
      <c r="O31" s="261">
        <v>0</v>
      </c>
      <c r="P31" s="217"/>
      <c r="T31" s="17"/>
      <c r="U31" s="17"/>
      <c r="V31" s="17"/>
      <c r="W31" s="17"/>
      <c r="X31" s="118"/>
      <c r="Y31" s="118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10"/>
      <c r="AM31" s="3"/>
    </row>
    <row r="32" spans="1:39" x14ac:dyDescent="0.2">
      <c r="A32" s="85"/>
      <c r="B32" s="17"/>
      <c r="C32" s="17"/>
      <c r="D32" s="48" t="s">
        <v>24</v>
      </c>
      <c r="E32" s="222">
        <f>$C$4*E8*$C$21</f>
        <v>21.859200000000001</v>
      </c>
      <c r="F32" s="262">
        <f t="shared" ref="F32:K32" si="9">$C$4*F8*$C$21</f>
        <v>21.859200000000001</v>
      </c>
      <c r="G32" s="222">
        <f t="shared" si="9"/>
        <v>0.93053399999999997</v>
      </c>
      <c r="H32" s="262">
        <f t="shared" si="9"/>
        <v>0.93053399999999997</v>
      </c>
      <c r="I32" s="222">
        <f t="shared" si="9"/>
        <v>0.93053399999999997</v>
      </c>
      <c r="J32" s="222">
        <f t="shared" si="9"/>
        <v>0.43262999999999996</v>
      </c>
      <c r="K32" s="261">
        <f t="shared" si="9"/>
        <v>0.10626000000000001</v>
      </c>
      <c r="L32" s="178"/>
      <c r="M32" s="395" t="s">
        <v>3</v>
      </c>
      <c r="N32" s="396"/>
      <c r="O32" s="397"/>
      <c r="P32" s="217"/>
      <c r="T32" s="17"/>
      <c r="U32" s="17"/>
      <c r="V32" s="17"/>
      <c r="W32" s="17"/>
      <c r="X32" s="118"/>
      <c r="Y32" s="118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0"/>
      <c r="AM32" s="3"/>
    </row>
    <row r="33" spans="1:40" ht="16" thickBot="1" x14ac:dyDescent="0.25">
      <c r="A33" s="85"/>
      <c r="B33" s="17"/>
      <c r="C33" s="17"/>
      <c r="D33" s="60" t="s">
        <v>25</v>
      </c>
      <c r="E33" s="223">
        <f>$C$4*E8*$C$22</f>
        <v>21.732479999999999</v>
      </c>
      <c r="F33" s="258">
        <f t="shared" ref="F33:K33" si="10">$C$4*F8*$C$22</f>
        <v>21.732479999999999</v>
      </c>
      <c r="G33" s="223">
        <f t="shared" si="10"/>
        <v>0.92513959999999995</v>
      </c>
      <c r="H33" s="258">
        <f t="shared" si="10"/>
        <v>0.92513959999999995</v>
      </c>
      <c r="I33" s="223">
        <f t="shared" si="10"/>
        <v>0.92513959999999995</v>
      </c>
      <c r="J33" s="223">
        <f t="shared" si="10"/>
        <v>0.43012199999999995</v>
      </c>
      <c r="K33" s="257">
        <f t="shared" si="10"/>
        <v>0.105644</v>
      </c>
      <c r="L33" s="178"/>
      <c r="M33" s="96">
        <f>SUM(E40:K46)-D4</f>
        <v>0</v>
      </c>
      <c r="N33" s="258" t="s">
        <v>46</v>
      </c>
      <c r="O33" s="257">
        <v>0</v>
      </c>
      <c r="P33" s="217"/>
      <c r="Q33" s="262"/>
      <c r="R33" s="262"/>
      <c r="S33" s="17"/>
      <c r="T33" s="17"/>
      <c r="U33" s="17"/>
      <c r="V33" s="17"/>
      <c r="W33" s="17"/>
      <c r="X33" s="118"/>
      <c r="Y33" s="118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10"/>
      <c r="AM33" s="3"/>
    </row>
    <row r="34" spans="1:40" ht="16" thickBot="1" x14ac:dyDescent="0.25">
      <c r="A34" s="85"/>
      <c r="B34" s="17"/>
      <c r="C34" s="17"/>
      <c r="D34" s="17"/>
      <c r="E34" s="17"/>
      <c r="F34" s="17"/>
      <c r="G34" s="17"/>
      <c r="H34" s="17"/>
      <c r="I34" s="17"/>
      <c r="J34" s="17"/>
      <c r="K34" s="17"/>
      <c r="Q34" s="17"/>
      <c r="R34" s="17"/>
      <c r="S34" s="17"/>
      <c r="T34" s="17"/>
      <c r="U34" s="17"/>
      <c r="V34" s="17"/>
      <c r="W34" s="17"/>
      <c r="X34" s="118"/>
      <c r="Y34" s="118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10"/>
      <c r="AM34" s="3"/>
    </row>
    <row r="35" spans="1:40" ht="20" thickBot="1" x14ac:dyDescent="0.3">
      <c r="A35" s="85"/>
      <c r="B35" s="17"/>
      <c r="C35" s="17"/>
      <c r="D35" s="93" t="s">
        <v>40</v>
      </c>
      <c r="E35" s="94"/>
      <c r="F35" s="94"/>
      <c r="G35" s="94"/>
      <c r="H35" s="94"/>
      <c r="I35" s="94"/>
      <c r="J35" s="94"/>
      <c r="K35" s="95"/>
      <c r="M35" s="17"/>
      <c r="P35" s="374" t="s">
        <v>52</v>
      </c>
      <c r="Q35" s="375"/>
      <c r="R35" s="375"/>
      <c r="S35" s="375"/>
      <c r="T35" s="375"/>
      <c r="U35" s="375"/>
      <c r="V35" s="375"/>
      <c r="W35" s="375"/>
      <c r="X35" s="376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0"/>
      <c r="AM35" s="3"/>
    </row>
    <row r="36" spans="1:40" ht="20" thickBot="1" x14ac:dyDescent="0.3">
      <c r="A36" s="21"/>
      <c r="B36" s="17"/>
      <c r="C36" s="17"/>
      <c r="D36" s="84"/>
      <c r="E36" s="367" t="s">
        <v>41</v>
      </c>
      <c r="F36" s="367"/>
      <c r="G36" s="367"/>
      <c r="H36" s="367"/>
      <c r="I36" s="367"/>
      <c r="J36" s="367"/>
      <c r="K36" s="366"/>
      <c r="M36" s="17"/>
      <c r="N36" s="254" t="s">
        <v>308</v>
      </c>
      <c r="P36" s="371" t="s">
        <v>50</v>
      </c>
      <c r="Q36" s="372"/>
      <c r="R36" s="372"/>
      <c r="S36" s="373"/>
      <c r="T36" s="210"/>
      <c r="U36" s="371" t="s">
        <v>51</v>
      </c>
      <c r="V36" s="372"/>
      <c r="W36" s="372"/>
      <c r="X36" s="373"/>
      <c r="Y36" s="140"/>
      <c r="Z36" s="140"/>
      <c r="AA36" s="140"/>
      <c r="AB36" s="141"/>
      <c r="AC36" s="140"/>
      <c r="AD36" s="140"/>
      <c r="AE36" s="140"/>
      <c r="AF36" s="140"/>
      <c r="AG36" s="141"/>
      <c r="AH36" s="140"/>
      <c r="AI36" s="140"/>
      <c r="AJ36" s="140"/>
      <c r="AK36" s="140"/>
      <c r="AM36" s="3"/>
    </row>
    <row r="37" spans="1:40" ht="19" x14ac:dyDescent="0.25">
      <c r="A37" s="21"/>
      <c r="B37" s="17"/>
      <c r="C37" s="17"/>
      <c r="D37" s="98" t="s">
        <v>43</v>
      </c>
      <c r="E37" s="99" t="s">
        <v>5</v>
      </c>
      <c r="F37" s="100" t="s">
        <v>6</v>
      </c>
      <c r="G37" s="100" t="s">
        <v>7</v>
      </c>
      <c r="H37" s="100" t="s">
        <v>8</v>
      </c>
      <c r="I37" s="100" t="s">
        <v>9</v>
      </c>
      <c r="J37" s="100" t="s">
        <v>10</v>
      </c>
      <c r="K37" s="101" t="s">
        <v>11</v>
      </c>
      <c r="L37" s="158" t="s">
        <v>62</v>
      </c>
      <c r="M37" s="158" t="s">
        <v>36</v>
      </c>
      <c r="N37" s="253" t="s">
        <v>307</v>
      </c>
      <c r="P37" s="260"/>
      <c r="Q37" s="262" t="s">
        <v>54</v>
      </c>
      <c r="R37" s="262"/>
      <c r="S37" s="58" t="s">
        <v>55</v>
      </c>
      <c r="T37" s="262"/>
      <c r="U37" s="260"/>
      <c r="V37" s="262" t="s">
        <v>54</v>
      </c>
      <c r="W37" s="262"/>
      <c r="X37" s="261" t="s">
        <v>55</v>
      </c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M37" s="3"/>
    </row>
    <row r="38" spans="1:40" x14ac:dyDescent="0.2">
      <c r="A38" s="21"/>
      <c r="B38" s="17"/>
      <c r="C38" s="224"/>
      <c r="D38" s="104" t="s">
        <v>16</v>
      </c>
      <c r="E38" s="105">
        <v>53000</v>
      </c>
      <c r="F38" s="105">
        <v>0</v>
      </c>
      <c r="G38" s="105">
        <v>0</v>
      </c>
      <c r="H38" s="105">
        <v>0</v>
      </c>
      <c r="I38" s="105">
        <v>79500</v>
      </c>
      <c r="J38" s="105">
        <v>79500</v>
      </c>
      <c r="K38" s="41">
        <v>318000</v>
      </c>
      <c r="L38" s="159">
        <v>1</v>
      </c>
      <c r="M38" s="229">
        <f t="shared" ref="M38:M46" si="11">SUM(E38:K38)</f>
        <v>530000</v>
      </c>
      <c r="N38" s="222">
        <f t="shared" ref="N38:N46" si="12">SUMPRODUCT(E25:K25,E38:K38)</f>
        <v>3545820.8082000003</v>
      </c>
      <c r="P38" s="167" t="s">
        <v>16</v>
      </c>
      <c r="Q38" s="126">
        <f t="shared" ref="Q38:Q46" si="13">(L38*200000)-SUM(E38:K38)</f>
        <v>-330000</v>
      </c>
      <c r="R38" s="262" t="s">
        <v>49</v>
      </c>
      <c r="S38" s="125">
        <v>0</v>
      </c>
      <c r="T38" s="211"/>
      <c r="U38" s="167" t="s">
        <v>16</v>
      </c>
      <c r="V38" s="126">
        <f t="shared" ref="V38:V46" si="14">(L38*600000)-SUM(E38:K38)</f>
        <v>70000</v>
      </c>
      <c r="W38" s="262" t="s">
        <v>48</v>
      </c>
      <c r="X38" s="261">
        <v>0</v>
      </c>
      <c r="Y38" s="141"/>
      <c r="Z38" s="142"/>
      <c r="AA38" s="141"/>
      <c r="AB38" s="141"/>
      <c r="AC38" s="103"/>
      <c r="AD38" s="143"/>
      <c r="AE38" s="142"/>
      <c r="AF38" s="141"/>
      <c r="AG38" s="141"/>
      <c r="AH38" s="103"/>
      <c r="AI38" s="141"/>
      <c r="AJ38" s="142"/>
      <c r="AK38" s="141"/>
      <c r="AM38" s="3"/>
    </row>
    <row r="39" spans="1:40" x14ac:dyDescent="0.2">
      <c r="A39" s="17"/>
      <c r="B39" s="17"/>
      <c r="C39" s="17"/>
      <c r="D39" s="107" t="s">
        <v>17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9">
        <v>0</v>
      </c>
      <c r="L39" s="159">
        <v>0</v>
      </c>
      <c r="M39" s="229">
        <f t="shared" si="11"/>
        <v>0</v>
      </c>
      <c r="N39" s="222">
        <f t="shared" si="12"/>
        <v>0</v>
      </c>
      <c r="P39" s="168" t="s">
        <v>17</v>
      </c>
      <c r="Q39" s="126">
        <f t="shared" si="13"/>
        <v>0</v>
      </c>
      <c r="R39" s="262" t="s">
        <v>49</v>
      </c>
      <c r="S39" s="125">
        <v>0</v>
      </c>
      <c r="T39" s="211"/>
      <c r="U39" s="168" t="s">
        <v>17</v>
      </c>
      <c r="V39" s="126">
        <f t="shared" si="14"/>
        <v>0</v>
      </c>
      <c r="W39" s="262" t="s">
        <v>48</v>
      </c>
      <c r="X39" s="261">
        <v>0</v>
      </c>
      <c r="Y39" s="141"/>
      <c r="Z39" s="142"/>
      <c r="AA39" s="144"/>
      <c r="AB39" s="144"/>
      <c r="AC39" s="103"/>
      <c r="AD39" s="143"/>
      <c r="AE39" s="142"/>
      <c r="AF39" s="144"/>
      <c r="AG39" s="141"/>
      <c r="AH39" s="103"/>
      <c r="AI39" s="141"/>
      <c r="AJ39" s="142"/>
      <c r="AK39" s="144"/>
      <c r="AM39" s="3"/>
    </row>
    <row r="40" spans="1:40" x14ac:dyDescent="0.2">
      <c r="A40" s="17"/>
      <c r="B40" s="17"/>
      <c r="C40" s="17"/>
      <c r="D40" s="110" t="s">
        <v>18</v>
      </c>
      <c r="E40" s="111">
        <v>0</v>
      </c>
      <c r="F40" s="111">
        <v>0</v>
      </c>
      <c r="G40" s="111">
        <v>0</v>
      </c>
      <c r="H40" s="111">
        <v>19</v>
      </c>
      <c r="I40" s="111">
        <v>3</v>
      </c>
      <c r="J40" s="111">
        <v>0</v>
      </c>
      <c r="K40" s="53">
        <v>199978</v>
      </c>
      <c r="L40" s="159">
        <v>1</v>
      </c>
      <c r="M40" s="229">
        <f t="shared" si="11"/>
        <v>200000</v>
      </c>
      <c r="N40" s="222">
        <f t="shared" si="12"/>
        <v>77312.313249600003</v>
      </c>
      <c r="P40" s="169" t="s">
        <v>18</v>
      </c>
      <c r="Q40" s="126">
        <f t="shared" si="13"/>
        <v>0</v>
      </c>
      <c r="R40" s="262" t="s">
        <v>49</v>
      </c>
      <c r="S40" s="261">
        <v>0</v>
      </c>
      <c r="T40" s="262"/>
      <c r="U40" s="169" t="s">
        <v>18</v>
      </c>
      <c r="V40" s="126">
        <f t="shared" si="14"/>
        <v>400000</v>
      </c>
      <c r="W40" s="262" t="s">
        <v>48</v>
      </c>
      <c r="X40" s="261">
        <v>0</v>
      </c>
      <c r="Y40" s="141"/>
      <c r="Z40" s="142"/>
      <c r="AA40" s="144"/>
      <c r="AB40" s="144"/>
      <c r="AC40" s="103"/>
      <c r="AD40" s="143"/>
      <c r="AE40" s="142"/>
      <c r="AF40" s="144"/>
      <c r="AG40" s="141"/>
      <c r="AH40" s="103"/>
      <c r="AI40" s="144"/>
      <c r="AJ40" s="142"/>
      <c r="AK40" s="144"/>
      <c r="AM40" s="12"/>
      <c r="AN40" s="9"/>
    </row>
    <row r="41" spans="1:40" x14ac:dyDescent="0.2">
      <c r="A41" s="17"/>
      <c r="B41" s="17"/>
      <c r="C41" s="17"/>
      <c r="D41" s="110" t="s">
        <v>19</v>
      </c>
      <c r="E41" s="111">
        <v>0</v>
      </c>
      <c r="F41" s="111">
        <v>0</v>
      </c>
      <c r="G41" s="111">
        <v>0</v>
      </c>
      <c r="H41" s="111">
        <v>0</v>
      </c>
      <c r="I41" s="111">
        <v>0</v>
      </c>
      <c r="J41" s="112">
        <v>0</v>
      </c>
      <c r="K41" s="53">
        <v>0</v>
      </c>
      <c r="L41" s="159">
        <v>0</v>
      </c>
      <c r="M41" s="229">
        <f t="shared" si="11"/>
        <v>0</v>
      </c>
      <c r="N41" s="222">
        <f t="shared" si="12"/>
        <v>0</v>
      </c>
      <c r="P41" s="169" t="s">
        <v>19</v>
      </c>
      <c r="Q41" s="126">
        <f t="shared" si="13"/>
        <v>0</v>
      </c>
      <c r="R41" s="262" t="s">
        <v>49</v>
      </c>
      <c r="S41" s="261">
        <v>0</v>
      </c>
      <c r="T41" s="262"/>
      <c r="U41" s="169" t="s">
        <v>19</v>
      </c>
      <c r="V41" s="126">
        <f t="shared" si="14"/>
        <v>0</v>
      </c>
      <c r="W41" s="262" t="s">
        <v>48</v>
      </c>
      <c r="X41" s="261">
        <v>0</v>
      </c>
      <c r="Y41" s="141"/>
      <c r="Z41" s="142"/>
      <c r="AA41" s="141"/>
      <c r="AB41" s="141"/>
      <c r="AC41" s="103"/>
      <c r="AD41" s="143"/>
      <c r="AE41" s="142"/>
      <c r="AF41" s="141"/>
      <c r="AG41" s="141"/>
      <c r="AH41" s="103"/>
      <c r="AI41" s="144"/>
      <c r="AJ41" s="142"/>
      <c r="AK41" s="141"/>
      <c r="AM41" s="9"/>
      <c r="AN41" s="9"/>
    </row>
    <row r="42" spans="1:40" x14ac:dyDescent="0.2">
      <c r="A42" s="17"/>
      <c r="B42" s="17"/>
      <c r="C42" s="17"/>
      <c r="D42" s="110" t="s">
        <v>20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2">
        <v>0</v>
      </c>
      <c r="K42" s="53">
        <v>0</v>
      </c>
      <c r="L42" s="159">
        <v>0</v>
      </c>
      <c r="M42" s="229">
        <f t="shared" si="11"/>
        <v>0</v>
      </c>
      <c r="N42" s="222">
        <f t="shared" si="12"/>
        <v>0</v>
      </c>
      <c r="P42" s="169" t="s">
        <v>20</v>
      </c>
      <c r="Q42" s="126">
        <f t="shared" si="13"/>
        <v>0</v>
      </c>
      <c r="R42" s="262" t="s">
        <v>49</v>
      </c>
      <c r="S42" s="261">
        <v>0</v>
      </c>
      <c r="T42" s="262"/>
      <c r="U42" s="169" t="s">
        <v>20</v>
      </c>
      <c r="V42" s="126">
        <f t="shared" si="14"/>
        <v>0</v>
      </c>
      <c r="W42" s="262" t="s">
        <v>48</v>
      </c>
      <c r="X42" s="261">
        <v>0</v>
      </c>
      <c r="Y42" s="141"/>
      <c r="Z42" s="142"/>
      <c r="AA42" s="141"/>
      <c r="AB42" s="141"/>
      <c r="AC42" s="103"/>
      <c r="AD42" s="143"/>
      <c r="AE42" s="142"/>
      <c r="AF42" s="141"/>
      <c r="AG42" s="141"/>
      <c r="AH42" s="103"/>
      <c r="AI42" s="144"/>
      <c r="AJ42" s="142"/>
      <c r="AK42" s="141"/>
    </row>
    <row r="43" spans="1:40" x14ac:dyDescent="0.2">
      <c r="A43" s="17"/>
      <c r="B43" s="17"/>
      <c r="C43" s="17"/>
      <c r="D43" s="110" t="s">
        <v>21</v>
      </c>
      <c r="E43" s="111">
        <v>24313</v>
      </c>
      <c r="F43" s="111">
        <v>0</v>
      </c>
      <c r="G43" s="111">
        <v>0</v>
      </c>
      <c r="H43" s="111">
        <v>0</v>
      </c>
      <c r="I43" s="111">
        <v>91978</v>
      </c>
      <c r="J43" s="111">
        <v>138000</v>
      </c>
      <c r="K43" s="53">
        <v>265709</v>
      </c>
      <c r="L43" s="159">
        <v>1</v>
      </c>
      <c r="M43" s="229">
        <f t="shared" si="11"/>
        <v>520000</v>
      </c>
      <c r="N43" s="222">
        <f t="shared" si="12"/>
        <v>2196703.49712</v>
      </c>
      <c r="P43" s="169" t="s">
        <v>21</v>
      </c>
      <c r="Q43" s="126">
        <f t="shared" si="13"/>
        <v>-320000</v>
      </c>
      <c r="R43" s="262" t="s">
        <v>49</v>
      </c>
      <c r="S43" s="261">
        <v>0</v>
      </c>
      <c r="T43" s="262"/>
      <c r="U43" s="169" t="s">
        <v>21</v>
      </c>
      <c r="V43" s="126">
        <f t="shared" si="14"/>
        <v>80000</v>
      </c>
      <c r="W43" s="262" t="s">
        <v>48</v>
      </c>
      <c r="X43" s="261">
        <v>0</v>
      </c>
      <c r="Y43" s="141"/>
      <c r="Z43" s="142"/>
      <c r="AA43" s="141"/>
      <c r="AB43" s="141"/>
      <c r="AC43" s="103"/>
      <c r="AD43" s="143"/>
      <c r="AE43" s="142"/>
      <c r="AF43" s="141"/>
      <c r="AG43" s="141"/>
      <c r="AH43" s="103"/>
      <c r="AI43" s="144"/>
      <c r="AJ43" s="142"/>
      <c r="AK43" s="141"/>
    </row>
    <row r="44" spans="1:40" x14ac:dyDescent="0.2">
      <c r="A44" s="17"/>
      <c r="B44" s="17"/>
      <c r="C44" s="17"/>
      <c r="D44" s="110" t="s">
        <v>22</v>
      </c>
      <c r="E44" s="103">
        <v>0</v>
      </c>
      <c r="F44" s="103">
        <v>0</v>
      </c>
      <c r="G44" s="111">
        <v>0</v>
      </c>
      <c r="H44" s="111">
        <v>0</v>
      </c>
      <c r="I44" s="111">
        <v>0</v>
      </c>
      <c r="J44" s="103">
        <v>0</v>
      </c>
      <c r="K44" s="58">
        <v>0</v>
      </c>
      <c r="L44" s="159">
        <v>0</v>
      </c>
      <c r="M44" s="229">
        <f t="shared" si="11"/>
        <v>0</v>
      </c>
      <c r="N44" s="222">
        <f t="shared" si="12"/>
        <v>0</v>
      </c>
      <c r="P44" s="169" t="s">
        <v>22</v>
      </c>
      <c r="Q44" s="126">
        <f t="shared" si="13"/>
        <v>0</v>
      </c>
      <c r="R44" s="262" t="s">
        <v>49</v>
      </c>
      <c r="S44" s="261">
        <v>0</v>
      </c>
      <c r="T44" s="262"/>
      <c r="U44" s="169" t="s">
        <v>22</v>
      </c>
      <c r="V44" s="126">
        <f t="shared" si="14"/>
        <v>0</v>
      </c>
      <c r="W44" s="262" t="s">
        <v>48</v>
      </c>
      <c r="X44" s="261">
        <v>0</v>
      </c>
      <c r="Y44" s="141"/>
      <c r="Z44" s="142"/>
      <c r="AA44" s="141"/>
      <c r="AB44" s="141"/>
      <c r="AC44" s="103"/>
      <c r="AD44" s="143"/>
      <c r="AE44" s="142"/>
      <c r="AF44" s="141"/>
      <c r="AG44" s="141"/>
      <c r="AH44" s="103"/>
      <c r="AI44" s="144"/>
      <c r="AJ44" s="142"/>
      <c r="AK44" s="141"/>
    </row>
    <row r="45" spans="1:40" x14ac:dyDescent="0.2">
      <c r="A45" s="17"/>
      <c r="B45" s="17"/>
      <c r="C45" s="17"/>
      <c r="D45" s="110" t="s">
        <v>24</v>
      </c>
      <c r="E45" s="111">
        <v>0</v>
      </c>
      <c r="F45" s="111">
        <v>0</v>
      </c>
      <c r="G45" s="103">
        <v>0</v>
      </c>
      <c r="H45" s="103">
        <v>0</v>
      </c>
      <c r="I45" s="103">
        <v>0</v>
      </c>
      <c r="J45" s="103">
        <v>0</v>
      </c>
      <c r="K45" s="53">
        <v>0</v>
      </c>
      <c r="L45" s="159">
        <v>0</v>
      </c>
      <c r="M45" s="229">
        <f t="shared" si="11"/>
        <v>0</v>
      </c>
      <c r="N45" s="222">
        <f t="shared" si="12"/>
        <v>0</v>
      </c>
      <c r="P45" s="169" t="s">
        <v>24</v>
      </c>
      <c r="Q45" s="126">
        <f t="shared" si="13"/>
        <v>0</v>
      </c>
      <c r="R45" s="262" t="s">
        <v>49</v>
      </c>
      <c r="S45" s="261">
        <v>0</v>
      </c>
      <c r="T45" s="262"/>
      <c r="U45" s="169" t="s">
        <v>24</v>
      </c>
      <c r="V45" s="126">
        <f t="shared" si="14"/>
        <v>0</v>
      </c>
      <c r="W45" s="262" t="s">
        <v>48</v>
      </c>
      <c r="X45" s="261">
        <v>0</v>
      </c>
      <c r="Y45" s="141"/>
      <c r="Z45" s="142"/>
      <c r="AA45" s="141"/>
      <c r="AB45" s="141"/>
      <c r="AC45" s="103"/>
      <c r="AD45" s="143"/>
      <c r="AE45" s="142"/>
      <c r="AF45" s="141"/>
      <c r="AG45" s="141"/>
      <c r="AH45" s="103"/>
      <c r="AI45" s="144"/>
      <c r="AJ45" s="142"/>
      <c r="AK45" s="141"/>
    </row>
    <row r="46" spans="1:40" ht="16" thickBot="1" x14ac:dyDescent="0.25">
      <c r="A46" s="17"/>
      <c r="B46" s="17"/>
      <c r="C46" s="17"/>
      <c r="D46" s="113" t="s">
        <v>25</v>
      </c>
      <c r="E46" s="114">
        <v>21687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  <c r="K46" s="66">
        <v>178313</v>
      </c>
      <c r="L46" s="160">
        <v>1</v>
      </c>
      <c r="M46" s="230">
        <f t="shared" si="11"/>
        <v>200000</v>
      </c>
      <c r="N46" s="223">
        <f t="shared" si="12"/>
        <v>490149.99233199999</v>
      </c>
      <c r="P46" s="170" t="s">
        <v>25</v>
      </c>
      <c r="Q46" s="212">
        <f t="shared" si="13"/>
        <v>0</v>
      </c>
      <c r="R46" s="258" t="s">
        <v>49</v>
      </c>
      <c r="S46" s="257">
        <v>0</v>
      </c>
      <c r="T46" s="258"/>
      <c r="U46" s="170" t="s">
        <v>25</v>
      </c>
      <c r="V46" s="212">
        <f t="shared" si="14"/>
        <v>400000</v>
      </c>
      <c r="W46" s="258" t="s">
        <v>48</v>
      </c>
      <c r="X46" s="257">
        <v>0</v>
      </c>
      <c r="Y46" s="141"/>
      <c r="Z46" s="142"/>
      <c r="AA46" s="141"/>
      <c r="AB46" s="141"/>
      <c r="AC46" s="103"/>
      <c r="AD46" s="143"/>
      <c r="AE46" s="142"/>
      <c r="AF46" s="141"/>
      <c r="AG46" s="141"/>
      <c r="AH46" s="103"/>
      <c r="AI46" s="144"/>
      <c r="AJ46" s="142"/>
      <c r="AK46" s="141"/>
    </row>
    <row r="47" spans="1:40" ht="20" thickBot="1" x14ac:dyDescent="0.3">
      <c r="A47" s="17"/>
      <c r="B47" s="17"/>
      <c r="C47" s="17"/>
      <c r="D47" s="115" t="s">
        <v>37</v>
      </c>
      <c r="E47" s="116">
        <f t="shared" ref="E47:K47" si="15">SUM(E38:E46)</f>
        <v>99000</v>
      </c>
      <c r="F47" s="116">
        <f t="shared" si="15"/>
        <v>0</v>
      </c>
      <c r="G47" s="116">
        <f t="shared" si="15"/>
        <v>0</v>
      </c>
      <c r="H47" s="116">
        <f t="shared" si="15"/>
        <v>19</v>
      </c>
      <c r="I47" s="116">
        <f t="shared" si="15"/>
        <v>171481</v>
      </c>
      <c r="J47" s="116">
        <f t="shared" si="15"/>
        <v>217500</v>
      </c>
      <c r="K47" s="117">
        <f t="shared" si="15"/>
        <v>962000</v>
      </c>
      <c r="L47" s="118"/>
      <c r="M47" s="228"/>
      <c r="N47" s="252">
        <f>SUM(N38:N46)</f>
        <v>6309986.6109016007</v>
      </c>
      <c r="O47" s="121"/>
      <c r="P47" s="121"/>
      <c r="Q47" s="121"/>
      <c r="R47" s="121"/>
      <c r="S47" s="121"/>
      <c r="T47" s="121"/>
      <c r="U47" s="121"/>
      <c r="V47" s="121"/>
      <c r="W47" s="121"/>
      <c r="X47" s="127"/>
      <c r="Y47" s="127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</row>
    <row r="48" spans="1:40" ht="16" thickBo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302" t="s">
        <v>49</v>
      </c>
      <c r="X48" s="17"/>
      <c r="Y48" s="17"/>
    </row>
    <row r="49" spans="1:52" ht="20" thickBot="1" x14ac:dyDescent="0.3">
      <c r="A49" s="17"/>
      <c r="B49" s="17"/>
      <c r="C49" s="17"/>
      <c r="D49" s="118"/>
      <c r="E49" s="374" t="s">
        <v>60</v>
      </c>
      <c r="F49" s="375"/>
      <c r="G49" s="375"/>
      <c r="H49" s="375"/>
      <c r="I49" s="375"/>
      <c r="J49" s="376"/>
      <c r="K49" s="17"/>
      <c r="L49" s="17"/>
      <c r="M49" s="17"/>
      <c r="N49" s="223">
        <f>7944511.034-(7944511.034*0.2)</f>
        <v>6355608.8272000002</v>
      </c>
      <c r="X49" s="17"/>
      <c r="Y49" s="17"/>
    </row>
    <row r="50" spans="1:52" ht="16" thickBot="1" x14ac:dyDescent="0.25">
      <c r="A50" s="17"/>
      <c r="B50" s="17"/>
      <c r="C50" s="17"/>
      <c r="D50" s="118"/>
      <c r="E50" s="353" t="s">
        <v>59</v>
      </c>
      <c r="F50" s="354"/>
      <c r="G50" s="353" t="s">
        <v>61</v>
      </c>
      <c r="H50" s="355"/>
      <c r="I50" s="354"/>
      <c r="J50" s="122" t="s">
        <v>10</v>
      </c>
      <c r="K50" s="119"/>
      <c r="L50" s="17"/>
      <c r="M50" s="17"/>
      <c r="N50" s="17"/>
      <c r="X50" s="17"/>
      <c r="Y50" s="17"/>
    </row>
    <row r="51" spans="1:52" x14ac:dyDescent="0.2">
      <c r="A51" s="17"/>
      <c r="B51" s="17"/>
      <c r="C51" s="17"/>
      <c r="D51" s="118"/>
      <c r="E51" s="362">
        <f>SUM(E38:F39)-E9</f>
        <v>0</v>
      </c>
      <c r="F51" s="363"/>
      <c r="G51" s="362">
        <f>SUM(G38:I39)-G9</f>
        <v>0</v>
      </c>
      <c r="H51" s="364"/>
      <c r="I51" s="363"/>
      <c r="J51" s="120">
        <f>SUM(J38:J39)-J9</f>
        <v>0</v>
      </c>
      <c r="K51" s="88"/>
      <c r="L51" s="17"/>
      <c r="M51" s="17"/>
      <c r="N51" s="17"/>
      <c r="X51" s="17"/>
      <c r="Y51" s="17"/>
    </row>
    <row r="52" spans="1:52" x14ac:dyDescent="0.2">
      <c r="A52" s="17"/>
      <c r="B52" s="17"/>
      <c r="C52" s="17"/>
      <c r="D52" s="118"/>
      <c r="E52" s="365" t="s">
        <v>48</v>
      </c>
      <c r="F52" s="366"/>
      <c r="G52" s="365" t="s">
        <v>48</v>
      </c>
      <c r="H52" s="367"/>
      <c r="I52" s="366"/>
      <c r="J52" s="261" t="s">
        <v>48</v>
      </c>
      <c r="K52" s="121"/>
      <c r="L52" s="17"/>
      <c r="M52" s="17"/>
      <c r="N52" s="17"/>
    </row>
    <row r="53" spans="1:52" ht="16" thickBot="1" x14ac:dyDescent="0.25">
      <c r="A53" s="17"/>
      <c r="B53" s="17"/>
      <c r="C53" s="17"/>
      <c r="D53" s="118"/>
      <c r="E53" s="356">
        <v>0</v>
      </c>
      <c r="F53" s="357"/>
      <c r="G53" s="356">
        <v>0</v>
      </c>
      <c r="H53" s="358"/>
      <c r="I53" s="357"/>
      <c r="J53" s="257">
        <v>0</v>
      </c>
      <c r="K53" s="121"/>
      <c r="L53" s="17"/>
      <c r="M53" s="17"/>
      <c r="N53" s="17"/>
    </row>
    <row r="54" spans="1:52" ht="15" customHeight="1" thickBot="1" x14ac:dyDescent="0.25">
      <c r="A54" s="17"/>
      <c r="B54" s="17"/>
      <c r="C54" s="17"/>
      <c r="D54" s="118"/>
      <c r="E54" s="359" t="s">
        <v>59</v>
      </c>
      <c r="F54" s="360"/>
      <c r="G54" s="359" t="s">
        <v>61</v>
      </c>
      <c r="H54" s="361"/>
      <c r="I54" s="360"/>
      <c r="J54" s="259" t="s">
        <v>10</v>
      </c>
      <c r="K54" s="17"/>
      <c r="L54" s="17"/>
    </row>
    <row r="55" spans="1:52" x14ac:dyDescent="0.2">
      <c r="A55" s="17"/>
      <c r="B55" s="17"/>
      <c r="C55" s="17"/>
      <c r="D55" s="118"/>
      <c r="E55" s="362">
        <f>SUM(E40:F46)-E10</f>
        <v>0</v>
      </c>
      <c r="F55" s="363"/>
      <c r="G55" s="362">
        <f>SUM(G40:I46)-G10</f>
        <v>0</v>
      </c>
      <c r="H55" s="364"/>
      <c r="I55" s="363"/>
      <c r="J55" s="120">
        <f>SUM(J40:J46)-J10</f>
        <v>0</v>
      </c>
      <c r="K55" s="119"/>
      <c r="L55" s="17"/>
    </row>
    <row r="56" spans="1:52" x14ac:dyDescent="0.2">
      <c r="A56" s="17"/>
      <c r="B56" s="17"/>
      <c r="C56" s="17"/>
      <c r="D56" s="118"/>
      <c r="E56" s="365" t="s">
        <v>48</v>
      </c>
      <c r="F56" s="366"/>
      <c r="G56" s="365" t="s">
        <v>48</v>
      </c>
      <c r="H56" s="367"/>
      <c r="I56" s="366"/>
      <c r="J56" s="261" t="s">
        <v>48</v>
      </c>
      <c r="K56" s="121"/>
      <c r="L56" s="17"/>
      <c r="AZ56" s="11"/>
    </row>
    <row r="57" spans="1:52" ht="16" thickBot="1" x14ac:dyDescent="0.25">
      <c r="A57" s="17"/>
      <c r="B57" s="17"/>
      <c r="C57" s="17"/>
      <c r="D57" s="118"/>
      <c r="E57" s="356">
        <v>0</v>
      </c>
      <c r="F57" s="357"/>
      <c r="G57" s="356">
        <v>0</v>
      </c>
      <c r="H57" s="358"/>
      <c r="I57" s="357"/>
      <c r="J57" s="257">
        <v>0</v>
      </c>
      <c r="K57" s="121"/>
      <c r="L57" s="17"/>
      <c r="AZ57" s="11"/>
    </row>
    <row r="58" spans="1:52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AZ58" s="11"/>
    </row>
    <row r="59" spans="1:52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AZ59" s="11"/>
    </row>
    <row r="60" spans="1:52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AZ60" s="8"/>
    </row>
    <row r="61" spans="1:52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AZ61" s="8"/>
    </row>
    <row r="62" spans="1:52" x14ac:dyDescent="0.2">
      <c r="AZ62" s="8"/>
    </row>
    <row r="63" spans="1:52" x14ac:dyDescent="0.2">
      <c r="AY63" s="10"/>
    </row>
    <row r="86" spans="2:10" x14ac:dyDescent="0.2">
      <c r="D86" s="3"/>
    </row>
    <row r="87" spans="2:10" x14ac:dyDescent="0.2">
      <c r="D87" s="5"/>
    </row>
    <row r="88" spans="2:10" x14ac:dyDescent="0.2">
      <c r="D88" s="6"/>
    </row>
    <row r="89" spans="2:10" x14ac:dyDescent="0.2">
      <c r="D89" s="6"/>
    </row>
    <row r="90" spans="2:10" x14ac:dyDescent="0.2">
      <c r="D90" s="6"/>
    </row>
    <row r="95" spans="2:10" x14ac:dyDescent="0.2">
      <c r="B95" s="4"/>
      <c r="C95" s="4"/>
      <c r="D95" s="4"/>
      <c r="E95" s="4"/>
      <c r="F95" s="4"/>
      <c r="G95" s="4"/>
      <c r="H95" s="4"/>
      <c r="I95" s="4"/>
      <c r="J95" s="4"/>
    </row>
    <row r="96" spans="2:10" x14ac:dyDescent="0.2">
      <c r="B96" s="4"/>
      <c r="C96" s="4"/>
      <c r="D96" s="4"/>
      <c r="E96" s="4"/>
      <c r="F96" s="4"/>
      <c r="G96" s="4"/>
      <c r="H96" s="4"/>
      <c r="I96" s="4"/>
      <c r="J96" s="4"/>
    </row>
    <row r="97" spans="2:10" x14ac:dyDescent="0.2">
      <c r="B97" s="4"/>
      <c r="C97" s="4"/>
      <c r="D97" s="4"/>
      <c r="E97" s="4"/>
      <c r="F97" s="4"/>
      <c r="G97" s="4"/>
      <c r="H97" s="4"/>
      <c r="I97" s="4"/>
      <c r="J97" s="4"/>
    </row>
    <row r="98" spans="2:10" x14ac:dyDescent="0.2">
      <c r="B98" s="4"/>
      <c r="C98" s="4"/>
      <c r="D98" s="4"/>
      <c r="E98" s="4"/>
      <c r="F98" s="4"/>
      <c r="G98" s="4"/>
      <c r="H98" s="4"/>
      <c r="I98" s="4"/>
      <c r="J98" s="4"/>
    </row>
    <row r="99" spans="2:10" x14ac:dyDescent="0.2">
      <c r="B99" s="4"/>
      <c r="C99" s="5"/>
      <c r="D99" s="5"/>
      <c r="E99" s="5"/>
      <c r="F99" s="5"/>
      <c r="G99" s="5"/>
      <c r="H99" s="5"/>
      <c r="I99" s="5"/>
      <c r="J99" s="5"/>
    </row>
    <row r="100" spans="2:10" x14ac:dyDescent="0.2">
      <c r="B100" s="4"/>
      <c r="C100" s="2"/>
      <c r="D100" s="6"/>
      <c r="E100" s="6"/>
      <c r="F100" s="7"/>
      <c r="G100" s="6"/>
      <c r="H100" s="4"/>
      <c r="I100" s="4"/>
      <c r="J100" s="4"/>
    </row>
    <row r="101" spans="2:10" x14ac:dyDescent="0.2">
      <c r="B101" s="4"/>
      <c r="C101" s="2"/>
      <c r="D101" s="4"/>
      <c r="E101" s="4"/>
      <c r="F101" s="7"/>
      <c r="G101" s="6"/>
      <c r="H101" s="4"/>
      <c r="I101" s="4"/>
      <c r="J101" s="4"/>
    </row>
    <row r="102" spans="2:10" x14ac:dyDescent="0.2">
      <c r="B102" s="4"/>
      <c r="C102" s="4"/>
      <c r="D102" s="4"/>
      <c r="E102" s="4"/>
      <c r="F102" s="4"/>
      <c r="G102" s="4"/>
      <c r="H102" s="6"/>
      <c r="I102" s="4"/>
      <c r="J102" s="4"/>
    </row>
    <row r="103" spans="2:10" x14ac:dyDescent="0.2">
      <c r="B103" s="4"/>
      <c r="C103" s="2"/>
      <c r="D103" s="6"/>
      <c r="E103" s="6"/>
      <c r="F103" s="7"/>
      <c r="G103" s="6"/>
      <c r="H103" s="4"/>
      <c r="I103" s="4"/>
      <c r="J103" s="4"/>
    </row>
    <row r="104" spans="2:10" x14ac:dyDescent="0.2">
      <c r="B104" s="4"/>
      <c r="C104" s="2"/>
      <c r="D104" s="4"/>
      <c r="E104" s="4"/>
      <c r="F104" s="7"/>
      <c r="G104" s="6"/>
      <c r="H104" s="4"/>
      <c r="I104" s="4"/>
      <c r="J104" s="4"/>
    </row>
    <row r="105" spans="2:10" x14ac:dyDescent="0.2"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37">
    <mergeCell ref="M6:O6"/>
    <mergeCell ref="E6:K6"/>
    <mergeCell ref="C8:D8"/>
    <mergeCell ref="C9:D9"/>
    <mergeCell ref="E9:F9"/>
    <mergeCell ref="G9:I9"/>
    <mergeCell ref="M30:O30"/>
    <mergeCell ref="M32:O32"/>
    <mergeCell ref="C10:D10"/>
    <mergeCell ref="E10:F10"/>
    <mergeCell ref="G10:I10"/>
    <mergeCell ref="E12:K12"/>
    <mergeCell ref="M12:O12"/>
    <mergeCell ref="C24:C28"/>
    <mergeCell ref="M26:O26"/>
    <mergeCell ref="M29:O29"/>
    <mergeCell ref="P35:X35"/>
    <mergeCell ref="E36:K36"/>
    <mergeCell ref="P36:S36"/>
    <mergeCell ref="U36:X36"/>
    <mergeCell ref="E50:F50"/>
    <mergeCell ref="G50:I50"/>
    <mergeCell ref="E49:J49"/>
    <mergeCell ref="E51:F51"/>
    <mergeCell ref="G51:I51"/>
    <mergeCell ref="E52:F52"/>
    <mergeCell ref="G52:I52"/>
    <mergeCell ref="E56:F56"/>
    <mergeCell ref="G56:I56"/>
    <mergeCell ref="E57:F57"/>
    <mergeCell ref="G57:I57"/>
    <mergeCell ref="E53:F53"/>
    <mergeCell ref="G53:I53"/>
    <mergeCell ref="E54:F54"/>
    <mergeCell ref="G54:I54"/>
    <mergeCell ref="E55:F55"/>
    <mergeCell ref="G55:I55"/>
  </mergeCells>
  <pageMargins left="0.7" right="0.7" top="0.75" bottom="0.75" header="0.3" footer="0.3"/>
  <pageSetup scale="3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5"/>
  <sheetViews>
    <sheetView zoomScale="70" zoomScaleNormal="70" workbookViewId="0">
      <selection activeCell="O41" sqref="O41"/>
    </sheetView>
  </sheetViews>
  <sheetFormatPr baseColWidth="10" defaultColWidth="8.83203125" defaultRowHeight="15" x14ac:dyDescent="0.2"/>
  <cols>
    <col min="1" max="1" width="13.5" bestFit="1" customWidth="1"/>
    <col min="2" max="2" width="18.83203125" bestFit="1" customWidth="1"/>
    <col min="3" max="3" width="20.5" bestFit="1" customWidth="1"/>
    <col min="4" max="4" width="17.83203125" customWidth="1"/>
    <col min="5" max="5" width="19.5" bestFit="1" customWidth="1"/>
    <col min="6" max="8" width="13.5" bestFit="1" customWidth="1"/>
    <col min="9" max="9" width="21.1640625" bestFit="1" customWidth="1"/>
    <col min="10" max="10" width="13.5" bestFit="1" customWidth="1"/>
    <col min="11" max="11" width="11.5" bestFit="1" customWidth="1"/>
    <col min="12" max="12" width="14.83203125" bestFit="1" customWidth="1"/>
    <col min="13" max="13" width="17.83203125" bestFit="1" customWidth="1"/>
    <col min="14" max="14" width="32.5" customWidth="1"/>
    <col min="15" max="15" width="23" customWidth="1"/>
    <col min="16" max="16" width="15.5" bestFit="1" customWidth="1"/>
    <col min="17" max="17" width="9.5" bestFit="1" customWidth="1"/>
    <col min="18" max="18" width="3" bestFit="1" customWidth="1"/>
    <col min="19" max="19" width="6.1640625" customWidth="1"/>
    <col min="20" max="20" width="14.5" bestFit="1" customWidth="1"/>
    <col min="21" max="21" width="15.5" bestFit="1" customWidth="1"/>
    <col min="22" max="22" width="8.5" bestFit="1" customWidth="1"/>
    <col min="23" max="23" width="2.1640625" bestFit="1" customWidth="1"/>
    <col min="24" max="24" width="4.5" bestFit="1" customWidth="1"/>
    <col min="25" max="25" width="8.5" customWidth="1"/>
    <col min="26" max="26" width="4" customWidth="1"/>
    <col min="27" max="27" width="11.5" customWidth="1"/>
    <col min="28" max="28" width="3.83203125" customWidth="1"/>
    <col min="29" max="29" width="15.5" bestFit="1" customWidth="1"/>
    <col min="30" max="30" width="10" bestFit="1" customWidth="1"/>
    <col min="31" max="31" width="2.1640625" bestFit="1" customWidth="1"/>
    <col min="32" max="32" width="10.5" bestFit="1" customWidth="1"/>
    <col min="33" max="33" width="4" customWidth="1"/>
    <col min="34" max="34" width="15.5" bestFit="1" customWidth="1"/>
    <col min="35" max="35" width="9.5" bestFit="1" customWidth="1"/>
    <col min="36" max="36" width="2.1640625" bestFit="1" customWidth="1"/>
    <col min="46" max="47" width="8.83203125" bestFit="1" customWidth="1"/>
    <col min="48" max="48" width="11.83203125" bestFit="1" customWidth="1"/>
    <col min="49" max="53" width="8.83203125" bestFit="1" customWidth="1"/>
    <col min="54" max="54" width="11.83203125" bestFit="1" customWidth="1"/>
    <col min="55" max="55" width="10.83203125" bestFit="1" customWidth="1"/>
    <col min="56" max="59" width="8.83203125" bestFit="1" customWidth="1"/>
    <col min="60" max="61" width="10.83203125" bestFit="1" customWidth="1"/>
  </cols>
  <sheetData>
    <row r="1" spans="1:32" ht="26" x14ac:dyDescent="0.3">
      <c r="A1" s="17"/>
      <c r="B1" s="76" t="s">
        <v>33</v>
      </c>
      <c r="C1" s="77"/>
      <c r="D1" s="77"/>
      <c r="E1" s="77"/>
      <c r="F1" s="77"/>
      <c r="G1" s="77"/>
      <c r="H1" s="77"/>
      <c r="I1" s="77"/>
      <c r="J1" s="78"/>
      <c r="K1" s="79"/>
      <c r="L1" s="17"/>
      <c r="M1" s="301"/>
      <c r="N1" s="301"/>
      <c r="O1" s="301"/>
      <c r="P1" s="21"/>
      <c r="Q1" s="17"/>
      <c r="R1" s="17"/>
      <c r="S1" s="17"/>
      <c r="T1" s="17"/>
      <c r="U1" s="17"/>
      <c r="V1" s="17"/>
      <c r="W1" s="17"/>
      <c r="X1" s="17"/>
      <c r="Y1" s="17"/>
    </row>
    <row r="2" spans="1:32" x14ac:dyDescent="0.2">
      <c r="A2" s="17"/>
      <c r="B2" s="80" t="s">
        <v>0</v>
      </c>
      <c r="C2" s="149" t="s">
        <v>1</v>
      </c>
      <c r="D2" s="81" t="s">
        <v>44</v>
      </c>
      <c r="E2" s="148" t="s">
        <v>53</v>
      </c>
      <c r="F2" s="146"/>
      <c r="G2" s="21"/>
      <c r="J2" s="21"/>
      <c r="K2" s="82"/>
      <c r="L2" s="17"/>
      <c r="M2" s="21"/>
      <c r="N2" s="21"/>
      <c r="O2" s="21"/>
      <c r="P2" s="21"/>
      <c r="Q2" s="17"/>
      <c r="R2" s="17"/>
      <c r="S2" s="17"/>
      <c r="T2" s="17"/>
      <c r="U2" s="17"/>
      <c r="V2" s="118"/>
      <c r="W2" s="118"/>
      <c r="X2" s="118"/>
      <c r="Y2" s="118"/>
      <c r="Z2" s="4"/>
      <c r="AA2" s="4"/>
      <c r="AB2" s="4"/>
      <c r="AC2" s="4"/>
      <c r="AD2" s="4"/>
      <c r="AE2" s="4"/>
      <c r="AF2" s="4"/>
    </row>
    <row r="3" spans="1:32" ht="16" thickBot="1" x14ac:dyDescent="0.25">
      <c r="A3" s="17"/>
      <c r="B3" s="172" t="s">
        <v>2</v>
      </c>
      <c r="C3" s="174">
        <v>1.6500000000000001E-2</v>
      </c>
      <c r="D3" s="177">
        <v>530000</v>
      </c>
      <c r="E3" s="177">
        <f>1/C3</f>
        <v>60.606060606060602</v>
      </c>
      <c r="F3" s="147"/>
      <c r="G3" s="21"/>
      <c r="H3" s="21"/>
      <c r="K3" s="82"/>
      <c r="L3" s="17"/>
      <c r="M3" s="21"/>
      <c r="N3" s="17"/>
      <c r="O3" s="21"/>
      <c r="P3" s="21"/>
      <c r="Q3" s="17"/>
      <c r="R3" s="17"/>
      <c r="S3" s="17"/>
      <c r="T3" s="17"/>
      <c r="U3" s="17"/>
      <c r="V3" s="118"/>
      <c r="W3" s="118"/>
      <c r="X3" s="118"/>
      <c r="Y3" s="118"/>
      <c r="Z3" s="4"/>
      <c r="AA3" s="4"/>
      <c r="AB3" s="4"/>
      <c r="AC3" s="4"/>
      <c r="AD3" s="4"/>
      <c r="AE3" s="4"/>
      <c r="AF3" s="4"/>
    </row>
    <row r="4" spans="1:32" ht="20" thickBot="1" x14ac:dyDescent="0.3">
      <c r="A4" s="17"/>
      <c r="B4" s="173" t="s">
        <v>3</v>
      </c>
      <c r="C4" s="175">
        <v>2.1999999999999999E-2</v>
      </c>
      <c r="D4" s="176">
        <v>920000</v>
      </c>
      <c r="E4" s="176">
        <f>1/C4</f>
        <v>45.45454545454546</v>
      </c>
      <c r="F4" s="147"/>
      <c r="G4" s="83"/>
      <c r="H4" s="155" t="s">
        <v>4</v>
      </c>
      <c r="I4" s="156">
        <v>3300000000</v>
      </c>
      <c r="J4" s="21"/>
      <c r="K4" s="82"/>
      <c r="L4" s="17"/>
      <c r="M4" s="21"/>
      <c r="N4" s="21"/>
      <c r="O4" s="21"/>
      <c r="P4" s="21"/>
      <c r="Q4" s="17"/>
      <c r="R4" s="17"/>
      <c r="S4" s="17"/>
      <c r="T4" s="17"/>
      <c r="U4" s="17"/>
      <c r="V4" s="118"/>
      <c r="W4" s="135"/>
      <c r="X4" s="118"/>
      <c r="Y4" s="118"/>
      <c r="Z4" s="118"/>
      <c r="AA4" s="118"/>
      <c r="AB4" s="118"/>
      <c r="AC4" s="118"/>
      <c r="AD4" s="118"/>
      <c r="AE4" s="4"/>
      <c r="AF4" s="4"/>
    </row>
    <row r="5" spans="1:32" ht="16" thickBot="1" x14ac:dyDescent="0.25">
      <c r="A5" s="17"/>
      <c r="B5" s="84"/>
      <c r="C5" s="21"/>
      <c r="D5" s="21"/>
      <c r="E5" s="21"/>
      <c r="F5" s="21"/>
      <c r="G5" s="21"/>
      <c r="H5" s="21"/>
      <c r="I5" s="21"/>
      <c r="J5" s="21"/>
      <c r="K5" s="82"/>
      <c r="L5" s="17"/>
      <c r="M5" s="21"/>
      <c r="N5" s="21"/>
      <c r="O5" s="21"/>
      <c r="P5" s="21"/>
      <c r="Q5" s="17"/>
      <c r="R5" s="17"/>
      <c r="S5" s="17"/>
      <c r="T5" s="17"/>
      <c r="U5" s="17"/>
      <c r="V5" s="118"/>
      <c r="W5" s="136"/>
      <c r="X5" s="118"/>
      <c r="Y5" s="118"/>
      <c r="Z5" s="118"/>
      <c r="AA5" s="118"/>
      <c r="AB5" s="118"/>
      <c r="AC5" s="118"/>
      <c r="AD5" s="118"/>
      <c r="AE5" s="4"/>
      <c r="AF5" s="4"/>
    </row>
    <row r="6" spans="1:32" ht="27" thickBot="1" x14ac:dyDescent="0.35">
      <c r="A6" s="85"/>
      <c r="B6" s="84"/>
      <c r="C6" s="21"/>
      <c r="D6" s="21"/>
      <c r="E6" s="380" t="s">
        <v>42</v>
      </c>
      <c r="F6" s="381"/>
      <c r="G6" s="381"/>
      <c r="H6" s="381"/>
      <c r="I6" s="381"/>
      <c r="J6" s="381"/>
      <c r="K6" s="382"/>
      <c r="L6" s="17"/>
      <c r="M6" s="338" t="s">
        <v>321</v>
      </c>
      <c r="N6" s="339"/>
      <c r="O6" s="340"/>
      <c r="P6" s="21"/>
      <c r="Q6" s="17"/>
      <c r="R6" s="17"/>
      <c r="S6" s="17"/>
      <c r="T6" s="17"/>
      <c r="U6" s="17"/>
      <c r="V6" s="118"/>
      <c r="W6" s="136"/>
      <c r="X6" s="118"/>
      <c r="Y6" s="118"/>
      <c r="Z6" s="118"/>
      <c r="AA6" s="118"/>
      <c r="AB6" s="118"/>
      <c r="AC6" s="118"/>
      <c r="AD6" s="118"/>
      <c r="AE6" s="4"/>
      <c r="AF6" s="4"/>
    </row>
    <row r="7" spans="1:32" ht="16" thickBot="1" x14ac:dyDescent="0.25">
      <c r="A7" s="85"/>
      <c r="B7" s="86"/>
      <c r="C7" s="21"/>
      <c r="D7" s="21"/>
      <c r="E7" s="150" t="s">
        <v>5</v>
      </c>
      <c r="F7" s="151" t="s">
        <v>6</v>
      </c>
      <c r="G7" s="25" t="s">
        <v>7</v>
      </c>
      <c r="H7" s="26" t="s">
        <v>8</v>
      </c>
      <c r="I7" s="27" t="s">
        <v>9</v>
      </c>
      <c r="J7" s="216" t="s">
        <v>10</v>
      </c>
      <c r="K7" s="152" t="s">
        <v>11</v>
      </c>
      <c r="L7" s="17"/>
      <c r="M7" s="21"/>
      <c r="N7" s="21"/>
      <c r="O7" s="21"/>
      <c r="P7" s="21"/>
      <c r="Q7" s="17"/>
      <c r="R7" s="17"/>
      <c r="S7" s="17"/>
      <c r="T7" s="17"/>
      <c r="U7" s="17"/>
      <c r="V7" s="118"/>
      <c r="W7" s="137"/>
      <c r="X7" s="138"/>
      <c r="Y7" s="118"/>
      <c r="Z7" s="118"/>
      <c r="AA7" s="118"/>
      <c r="AB7" s="118"/>
      <c r="AC7" s="118"/>
      <c r="AD7" s="118"/>
      <c r="AE7" s="4"/>
      <c r="AF7" s="4"/>
    </row>
    <row r="8" spans="1:32" x14ac:dyDescent="0.2">
      <c r="A8" s="85"/>
      <c r="B8" s="87"/>
      <c r="C8" s="383" t="s">
        <v>35</v>
      </c>
      <c r="D8" s="384"/>
      <c r="E8" s="206">
        <v>1.44</v>
      </c>
      <c r="F8" s="207">
        <v>1.44</v>
      </c>
      <c r="G8" s="206">
        <v>6.13E-2</v>
      </c>
      <c r="H8" s="215">
        <v>6.13E-2</v>
      </c>
      <c r="I8" s="207">
        <v>6.13E-2</v>
      </c>
      <c r="J8" s="208">
        <v>2.8500000000000001E-2</v>
      </c>
      <c r="K8" s="153">
        <v>7.0000000000000001E-3</v>
      </c>
      <c r="L8" s="17"/>
      <c r="M8" s="21"/>
      <c r="N8" s="21"/>
      <c r="O8" s="21"/>
      <c r="P8" s="21"/>
      <c r="Q8" s="17"/>
      <c r="R8" s="17"/>
      <c r="S8" s="17"/>
      <c r="T8" s="17"/>
      <c r="U8" s="17"/>
      <c r="V8" s="118"/>
      <c r="W8" s="118"/>
      <c r="X8" s="118"/>
      <c r="Y8" s="118"/>
      <c r="Z8" s="4"/>
      <c r="AA8" s="4"/>
      <c r="AB8" s="4"/>
      <c r="AC8" s="4"/>
      <c r="AD8" s="4"/>
      <c r="AE8" s="4"/>
      <c r="AF8" s="4"/>
    </row>
    <row r="9" spans="1:32" x14ac:dyDescent="0.2">
      <c r="A9" s="85"/>
      <c r="B9" s="86"/>
      <c r="C9" s="385" t="s">
        <v>63</v>
      </c>
      <c r="D9" s="386"/>
      <c r="E9" s="398">
        <v>53000</v>
      </c>
      <c r="F9" s="399"/>
      <c r="G9" s="402">
        <v>79500</v>
      </c>
      <c r="H9" s="403"/>
      <c r="I9" s="404"/>
      <c r="J9" s="208">
        <v>79500</v>
      </c>
      <c r="K9" s="153">
        <v>0</v>
      </c>
      <c r="L9" s="17"/>
      <c r="M9" s="21"/>
      <c r="N9" s="21"/>
      <c r="O9" s="21"/>
      <c r="P9" s="21"/>
      <c r="Q9" s="17"/>
      <c r="R9" s="17"/>
      <c r="S9" s="17"/>
      <c r="T9" s="17"/>
      <c r="U9" s="17"/>
      <c r="V9" s="118"/>
      <c r="W9" s="118"/>
      <c r="X9" s="118"/>
      <c r="Y9" s="118"/>
      <c r="Z9" s="4"/>
      <c r="AA9" s="4"/>
      <c r="AB9" s="4"/>
      <c r="AC9" s="4"/>
      <c r="AD9" s="4"/>
      <c r="AE9" s="4"/>
      <c r="AF9" s="4"/>
    </row>
    <row r="10" spans="1:32" ht="16" thickBot="1" x14ac:dyDescent="0.25">
      <c r="A10" s="85"/>
      <c r="B10" s="84"/>
      <c r="C10" s="387" t="s">
        <v>64</v>
      </c>
      <c r="D10" s="388"/>
      <c r="E10" s="400">
        <v>46000</v>
      </c>
      <c r="F10" s="401"/>
      <c r="G10" s="368">
        <v>92000</v>
      </c>
      <c r="H10" s="369"/>
      <c r="I10" s="370"/>
      <c r="J10" s="198">
        <v>138000</v>
      </c>
      <c r="K10" s="154">
        <v>0</v>
      </c>
      <c r="L10" s="17"/>
      <c r="M10" s="21"/>
      <c r="N10" s="17"/>
      <c r="O10" s="21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32" ht="16" thickBot="1" x14ac:dyDescent="0.25">
      <c r="A11" s="85"/>
      <c r="B11" s="84"/>
      <c r="C11" s="21"/>
      <c r="D11" s="21"/>
      <c r="E11" s="21"/>
      <c r="F11" s="21"/>
      <c r="G11" s="21"/>
      <c r="H11" s="21"/>
      <c r="I11" s="21"/>
      <c r="J11" s="21"/>
      <c r="K11" s="82"/>
      <c r="L11" s="17"/>
      <c r="M11" s="21"/>
      <c r="N11" s="88"/>
      <c r="O11" s="21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32" ht="20" thickBot="1" x14ac:dyDescent="0.3">
      <c r="A12" s="85"/>
      <c r="B12" s="84"/>
      <c r="C12" s="21"/>
      <c r="D12" s="21"/>
      <c r="E12" s="389" t="s">
        <v>39</v>
      </c>
      <c r="F12" s="390"/>
      <c r="G12" s="390"/>
      <c r="H12" s="390"/>
      <c r="I12" s="390"/>
      <c r="J12" s="390"/>
      <c r="K12" s="391"/>
      <c r="M12" s="374" t="s">
        <v>58</v>
      </c>
      <c r="N12" s="375"/>
      <c r="O12" s="376"/>
      <c r="P12" s="21"/>
      <c r="Q12" s="17"/>
      <c r="R12" s="17"/>
      <c r="S12" s="17"/>
      <c r="T12" s="17"/>
      <c r="X12" s="17"/>
      <c r="Y12" s="17"/>
    </row>
    <row r="13" spans="1:32" ht="30" customHeight="1" x14ac:dyDescent="0.2">
      <c r="A13" s="85"/>
      <c r="B13" s="89" t="s">
        <v>43</v>
      </c>
      <c r="C13" s="81" t="s">
        <v>14</v>
      </c>
      <c r="D13" s="90" t="s">
        <v>15</v>
      </c>
      <c r="E13" s="165" t="s">
        <v>5</v>
      </c>
      <c r="F13" s="163" t="s">
        <v>6</v>
      </c>
      <c r="G13" s="164" t="s">
        <v>7</v>
      </c>
      <c r="H13" s="163" t="s">
        <v>8</v>
      </c>
      <c r="I13" s="163" t="s">
        <v>9</v>
      </c>
      <c r="J13" s="163" t="s">
        <v>10</v>
      </c>
      <c r="K13" s="166" t="s">
        <v>11</v>
      </c>
      <c r="M13" s="157"/>
      <c r="N13" s="162" t="s">
        <v>56</v>
      </c>
      <c r="O13" s="161" t="s">
        <v>57</v>
      </c>
      <c r="P13" s="21"/>
      <c r="Q13" s="17"/>
      <c r="R13" s="17"/>
      <c r="S13" s="17"/>
      <c r="T13" s="17"/>
      <c r="X13" s="17"/>
      <c r="Y13" s="17"/>
    </row>
    <row r="14" spans="1:32" x14ac:dyDescent="0.2">
      <c r="A14" s="85"/>
      <c r="B14" s="36" t="s">
        <v>16</v>
      </c>
      <c r="C14" s="37">
        <v>2508</v>
      </c>
      <c r="D14" s="231">
        <v>1818</v>
      </c>
      <c r="E14" s="232">
        <f>64400</f>
        <v>64400</v>
      </c>
      <c r="F14" s="233">
        <f>70840</f>
        <v>70840</v>
      </c>
      <c r="G14" s="231">
        <f>6182.4</f>
        <v>6182.4</v>
      </c>
      <c r="H14" s="233">
        <f>5216.4</f>
        <v>5216.3999999999996</v>
      </c>
      <c r="I14" s="233">
        <f>4830</f>
        <v>4830</v>
      </c>
      <c r="J14" s="233">
        <f>4250.4</f>
        <v>4250.3999999999996</v>
      </c>
      <c r="K14" s="234">
        <f>3091.2</f>
        <v>3091.2</v>
      </c>
      <c r="M14" s="129" t="s">
        <v>16</v>
      </c>
      <c r="N14" s="132">
        <f>M38*D14</f>
        <v>963540000</v>
      </c>
      <c r="O14" s="133">
        <f>SUMPRODUCT(E14:K14,E38:K38)*C3</f>
        <v>84448541.100000009</v>
      </c>
      <c r="P14" s="21"/>
      <c r="Q14" s="17"/>
      <c r="R14" s="88"/>
      <c r="S14" s="17"/>
      <c r="T14" s="17"/>
      <c r="U14" s="17"/>
      <c r="V14" s="17"/>
      <c r="W14" s="17"/>
      <c r="X14" s="17"/>
      <c r="Y14" s="17"/>
    </row>
    <row r="15" spans="1:32" x14ac:dyDescent="0.2">
      <c r="A15" s="85"/>
      <c r="B15" s="42" t="s">
        <v>17</v>
      </c>
      <c r="C15" s="43">
        <v>1553</v>
      </c>
      <c r="D15" s="235">
        <v>1996.4</v>
      </c>
      <c r="E15" s="236">
        <f>115920</f>
        <v>115920</v>
      </c>
      <c r="F15" s="237">
        <f>127512</f>
        <v>127512</v>
      </c>
      <c r="G15" s="235">
        <f>7084</f>
        <v>7084</v>
      </c>
      <c r="H15" s="237">
        <f>5796</f>
        <v>5796</v>
      </c>
      <c r="I15" s="237">
        <f>5667.2</f>
        <v>5667.2</v>
      </c>
      <c r="J15" s="237">
        <f>5796</f>
        <v>5796</v>
      </c>
      <c r="K15" s="238">
        <f>2704.8</f>
        <v>2704.8</v>
      </c>
      <c r="M15" s="130" t="s">
        <v>17</v>
      </c>
      <c r="N15" s="132">
        <f t="shared" ref="N15:N22" si="0">M39*D15</f>
        <v>0</v>
      </c>
      <c r="O15" s="133">
        <f>SUMPRODUCT(E15:K15,E39:K39)*C3</f>
        <v>0</v>
      </c>
      <c r="P15" s="21"/>
      <c r="Q15" s="17"/>
      <c r="R15" s="88"/>
      <c r="S15" s="17"/>
      <c r="T15" s="17"/>
      <c r="U15" s="17"/>
      <c r="V15" s="17"/>
      <c r="W15" s="17"/>
      <c r="X15" s="17"/>
      <c r="Y15" s="17"/>
    </row>
    <row r="16" spans="1:32" x14ac:dyDescent="0.2">
      <c r="A16" s="85"/>
      <c r="B16" s="48" t="s">
        <v>18</v>
      </c>
      <c r="C16" s="49">
        <v>2508</v>
      </c>
      <c r="D16" s="239">
        <v>1983.4</v>
      </c>
      <c r="E16" s="240">
        <f>64400</f>
        <v>64400</v>
      </c>
      <c r="F16" s="241">
        <f>70840</f>
        <v>70840</v>
      </c>
      <c r="G16" s="239">
        <f>6182.4</f>
        <v>6182.4</v>
      </c>
      <c r="H16" s="241">
        <f>5216.4</f>
        <v>5216.3999999999996</v>
      </c>
      <c r="I16" s="241">
        <f>4830</f>
        <v>4830</v>
      </c>
      <c r="J16" s="241">
        <f>4250.4</f>
        <v>4250.3999999999996</v>
      </c>
      <c r="K16" s="242">
        <f>3091.2</f>
        <v>3091.2</v>
      </c>
      <c r="M16" s="205" t="s">
        <v>18</v>
      </c>
      <c r="N16" s="132">
        <f t="shared" si="0"/>
        <v>396680000</v>
      </c>
      <c r="O16" s="133">
        <f t="shared" ref="O16:O22" si="1">SUMPRODUCT(E16:K16,E40:K40)*$C$4</f>
        <v>13602253.341599999</v>
      </c>
      <c r="P16" s="17"/>
      <c r="Q16" s="17"/>
      <c r="R16" s="17"/>
      <c r="S16" s="17"/>
      <c r="T16" s="88"/>
      <c r="U16" s="17"/>
      <c r="V16" s="17"/>
      <c r="W16" s="17"/>
      <c r="X16" s="17"/>
      <c r="Y16" s="17"/>
    </row>
    <row r="17" spans="1:39" x14ac:dyDescent="0.2">
      <c r="A17" s="85"/>
      <c r="B17" s="48" t="s">
        <v>19</v>
      </c>
      <c r="C17" s="49">
        <v>1553</v>
      </c>
      <c r="D17" s="239">
        <v>2254</v>
      </c>
      <c r="E17" s="240">
        <f>115920</f>
        <v>115920</v>
      </c>
      <c r="F17" s="241">
        <f>127512</f>
        <v>127512</v>
      </c>
      <c r="G17" s="239">
        <f>7084</f>
        <v>7084</v>
      </c>
      <c r="H17" s="241">
        <f>5796</f>
        <v>5796</v>
      </c>
      <c r="I17" s="241">
        <f>5667.2</f>
        <v>5667.2</v>
      </c>
      <c r="J17" s="241">
        <f>5796</f>
        <v>5796</v>
      </c>
      <c r="K17" s="243">
        <f>2704.8</f>
        <v>2704.8</v>
      </c>
      <c r="M17" s="205" t="s">
        <v>19</v>
      </c>
      <c r="N17" s="132">
        <f t="shared" si="0"/>
        <v>0</v>
      </c>
      <c r="O17" s="133">
        <f t="shared" si="1"/>
        <v>0</v>
      </c>
      <c r="P17" s="17"/>
      <c r="Q17" s="17"/>
      <c r="R17" s="17"/>
      <c r="S17" s="17"/>
      <c r="T17" s="88"/>
      <c r="U17" s="17"/>
      <c r="V17" s="17"/>
      <c r="W17" s="17"/>
      <c r="X17" s="17"/>
      <c r="Y17" s="17"/>
    </row>
    <row r="18" spans="1:39" x14ac:dyDescent="0.2">
      <c r="A18" s="85"/>
      <c r="B18" s="48" t="s">
        <v>20</v>
      </c>
      <c r="C18" s="49">
        <v>1380</v>
      </c>
      <c r="D18" s="239">
        <v>2582.4</v>
      </c>
      <c r="E18" s="240">
        <f>103040</f>
        <v>103040</v>
      </c>
      <c r="F18" s="241">
        <f>113344</f>
        <v>113344</v>
      </c>
      <c r="G18" s="239">
        <f>7084</f>
        <v>7084</v>
      </c>
      <c r="H18" s="241">
        <f>5796</f>
        <v>5796</v>
      </c>
      <c r="I18" s="241">
        <f>5667.2</f>
        <v>5667.2</v>
      </c>
      <c r="J18" s="241">
        <f>5796</f>
        <v>5796</v>
      </c>
      <c r="K18" s="242">
        <f>3284.4</f>
        <v>3284.4</v>
      </c>
      <c r="M18" s="205" t="s">
        <v>20</v>
      </c>
      <c r="N18" s="132">
        <f t="shared" si="0"/>
        <v>0</v>
      </c>
      <c r="O18" s="133">
        <f t="shared" si="1"/>
        <v>0</v>
      </c>
      <c r="P18" s="17"/>
      <c r="Q18" s="17"/>
      <c r="R18" s="17"/>
      <c r="S18" s="17"/>
      <c r="T18" s="88"/>
      <c r="U18" s="17"/>
      <c r="V18" s="17"/>
      <c r="W18" s="17"/>
      <c r="X18" s="17"/>
      <c r="Y18" s="17"/>
      <c r="AJ18" s="3"/>
      <c r="AK18" s="3"/>
      <c r="AL18" s="3"/>
      <c r="AM18" s="3"/>
    </row>
    <row r="19" spans="1:39" x14ac:dyDescent="0.2">
      <c r="A19" s="85"/>
      <c r="B19" s="48" t="s">
        <v>21</v>
      </c>
      <c r="C19" s="49">
        <v>2150</v>
      </c>
      <c r="D19" s="239">
        <v>1976.1</v>
      </c>
      <c r="E19" s="240">
        <f>64400</f>
        <v>64400</v>
      </c>
      <c r="F19" s="241">
        <f>70840</f>
        <v>70840</v>
      </c>
      <c r="G19" s="239">
        <f>6182.4</f>
        <v>6182.4</v>
      </c>
      <c r="H19" s="241">
        <f>5280.8</f>
        <v>5280.8</v>
      </c>
      <c r="I19" s="241">
        <f>5216.4</f>
        <v>5216.3999999999996</v>
      </c>
      <c r="J19" s="241">
        <f>4250.4</f>
        <v>4250.3999999999996</v>
      </c>
      <c r="K19" s="242">
        <f>3091.2</f>
        <v>3091.2</v>
      </c>
      <c r="M19" s="205" t="s">
        <v>21</v>
      </c>
      <c r="N19" s="132">
        <f t="shared" si="0"/>
        <v>1027572000</v>
      </c>
      <c r="O19" s="133">
        <f t="shared" si="1"/>
        <v>52899791.251999997</v>
      </c>
      <c r="P19" s="17"/>
      <c r="Q19" s="21"/>
      <c r="R19" s="17"/>
      <c r="S19" s="17"/>
      <c r="T19" s="88"/>
      <c r="U19" s="17"/>
      <c r="V19" s="17"/>
      <c r="W19" s="17"/>
      <c r="X19" s="17"/>
      <c r="Y19" s="17"/>
      <c r="AJ19" s="3"/>
      <c r="AK19" s="3"/>
      <c r="AL19" s="3"/>
      <c r="AM19" s="3"/>
    </row>
    <row r="20" spans="1:39" x14ac:dyDescent="0.2">
      <c r="A20" s="85"/>
      <c r="B20" s="48" t="s">
        <v>22</v>
      </c>
      <c r="C20" s="55">
        <v>30</v>
      </c>
      <c r="D20" s="239">
        <v>2711.3</v>
      </c>
      <c r="E20" s="244">
        <v>0</v>
      </c>
      <c r="F20" s="245">
        <v>0</v>
      </c>
      <c r="G20" s="239">
        <f>9660</f>
        <v>9660</v>
      </c>
      <c r="H20" s="241">
        <f>9016</f>
        <v>9016</v>
      </c>
      <c r="I20" s="241">
        <f>8694</f>
        <v>8694</v>
      </c>
      <c r="J20" s="245">
        <v>0</v>
      </c>
      <c r="K20" s="246">
        <v>0</v>
      </c>
      <c r="M20" s="205" t="s">
        <v>22</v>
      </c>
      <c r="N20" s="132">
        <f t="shared" si="0"/>
        <v>0</v>
      </c>
      <c r="O20" s="133">
        <f t="shared" si="1"/>
        <v>0</v>
      </c>
      <c r="P20" s="17"/>
      <c r="Q20" s="21"/>
      <c r="R20" s="17"/>
      <c r="S20" s="17"/>
      <c r="T20" s="17"/>
      <c r="U20" s="17"/>
      <c r="V20" s="17"/>
      <c r="W20" s="17"/>
      <c r="X20" s="17"/>
      <c r="Y20" s="17"/>
      <c r="AJ20" s="3"/>
      <c r="AK20" s="3"/>
      <c r="AL20" s="3"/>
      <c r="AM20" s="3"/>
    </row>
    <row r="21" spans="1:39" x14ac:dyDescent="0.2">
      <c r="A21" s="85"/>
      <c r="B21" s="48" t="s">
        <v>24</v>
      </c>
      <c r="C21" s="55">
        <v>690</v>
      </c>
      <c r="D21" s="239">
        <v>2704.8</v>
      </c>
      <c r="E21" s="240">
        <f>135240</f>
        <v>135240</v>
      </c>
      <c r="F21" s="241">
        <f>148120</f>
        <v>148120</v>
      </c>
      <c r="G21" s="247">
        <v>0</v>
      </c>
      <c r="H21" s="245">
        <v>0</v>
      </c>
      <c r="I21" s="245">
        <v>0</v>
      </c>
      <c r="J21" s="245">
        <v>0</v>
      </c>
      <c r="K21" s="242">
        <f>3413.2</f>
        <v>3413.2</v>
      </c>
      <c r="M21" s="205" t="s">
        <v>24</v>
      </c>
      <c r="N21" s="132">
        <f t="shared" si="0"/>
        <v>0</v>
      </c>
      <c r="O21" s="133">
        <f t="shared" si="1"/>
        <v>0</v>
      </c>
      <c r="P21" s="17"/>
      <c r="Q21" s="21"/>
      <c r="R21" s="17"/>
      <c r="S21" s="17"/>
      <c r="T21" s="88"/>
      <c r="U21" s="17"/>
      <c r="V21" s="17"/>
      <c r="W21" s="17"/>
      <c r="X21" s="17"/>
      <c r="Y21" s="17"/>
      <c r="AJ21" s="3"/>
      <c r="AK21" s="3"/>
      <c r="AL21" s="3"/>
      <c r="AM21" s="3"/>
    </row>
    <row r="22" spans="1:39" ht="16" thickBot="1" x14ac:dyDescent="0.25">
      <c r="A22" s="85"/>
      <c r="B22" s="60" t="s">
        <v>25</v>
      </c>
      <c r="C22" s="61">
        <v>686</v>
      </c>
      <c r="D22" s="248">
        <v>2125.1999999999998</v>
      </c>
      <c r="E22" s="249">
        <f>103040</f>
        <v>103040</v>
      </c>
      <c r="F22" s="250">
        <f>112700</f>
        <v>112700</v>
      </c>
      <c r="G22" s="248">
        <f>7084</f>
        <v>7084</v>
      </c>
      <c r="H22" s="250">
        <f>5796</f>
        <v>5796</v>
      </c>
      <c r="I22" s="250">
        <f>5538.4</f>
        <v>5538.4</v>
      </c>
      <c r="J22" s="250">
        <f>5860.4</f>
        <v>5860.4</v>
      </c>
      <c r="K22" s="251">
        <f>2769.2</f>
        <v>2769.2</v>
      </c>
      <c r="M22" s="131" t="s">
        <v>25</v>
      </c>
      <c r="N22" s="134">
        <f t="shared" si="0"/>
        <v>425039999.99999994</v>
      </c>
      <c r="O22" s="209">
        <f t="shared" si="1"/>
        <v>97766811.049600005</v>
      </c>
      <c r="P22" s="17"/>
      <c r="Q22" s="17"/>
      <c r="R22" s="17"/>
      <c r="S22" s="17"/>
      <c r="T22" s="88"/>
      <c r="U22" s="17"/>
      <c r="V22" s="17"/>
      <c r="W22" s="17"/>
      <c r="X22" s="17"/>
      <c r="Y22" s="17"/>
      <c r="AJ22" s="3"/>
      <c r="AK22" s="3"/>
      <c r="AL22" s="3"/>
      <c r="AM22" s="3"/>
    </row>
    <row r="23" spans="1:39" ht="22" thickBot="1" x14ac:dyDescent="0.3">
      <c r="A23" s="85"/>
      <c r="B23" s="17"/>
      <c r="C23" s="17"/>
      <c r="D23" s="17"/>
      <c r="E23" s="17"/>
      <c r="F23" s="17"/>
      <c r="G23" s="17"/>
      <c r="H23" s="17"/>
      <c r="I23" s="17"/>
      <c r="J23" s="17"/>
      <c r="K23" s="17"/>
      <c r="M23" s="213" t="s">
        <v>38</v>
      </c>
      <c r="N23" s="214">
        <f>SUM(N14:O22)</f>
        <v>3061549396.7431998</v>
      </c>
      <c r="O23" s="145"/>
      <c r="Q23" s="17"/>
      <c r="R23" s="17"/>
      <c r="S23" s="17"/>
      <c r="T23" s="17"/>
      <c r="U23" s="17"/>
      <c r="V23" s="17"/>
      <c r="W23" s="17"/>
      <c r="X23" s="17"/>
      <c r="Y23" s="17"/>
      <c r="AH23" s="1"/>
      <c r="AJ23" s="3"/>
      <c r="AK23" s="3"/>
      <c r="AL23" s="8"/>
      <c r="AM23" s="3"/>
    </row>
    <row r="24" spans="1:39" ht="15" customHeight="1" x14ac:dyDescent="0.2">
      <c r="A24" s="85"/>
      <c r="B24" s="17"/>
      <c r="C24" s="405" t="s">
        <v>329</v>
      </c>
      <c r="D24" s="30" t="s">
        <v>43</v>
      </c>
      <c r="E24" s="218" t="s">
        <v>5</v>
      </c>
      <c r="F24" s="225" t="s">
        <v>6</v>
      </c>
      <c r="G24" s="218" t="s">
        <v>7</v>
      </c>
      <c r="H24" s="225" t="s">
        <v>8</v>
      </c>
      <c r="I24" s="218" t="s">
        <v>9</v>
      </c>
      <c r="J24" s="218" t="s">
        <v>10</v>
      </c>
      <c r="K24" s="227" t="s">
        <v>11</v>
      </c>
      <c r="U24" s="17"/>
      <c r="V24" s="17"/>
      <c r="W24" s="17"/>
      <c r="X24" s="17"/>
      <c r="Y24" s="17"/>
      <c r="AH24" s="1"/>
      <c r="AJ24" s="3"/>
      <c r="AK24" s="3"/>
      <c r="AL24" s="10"/>
      <c r="AM24" s="3"/>
    </row>
    <row r="25" spans="1:39" ht="16" thickBot="1" x14ac:dyDescent="0.25">
      <c r="A25" s="85"/>
      <c r="B25" s="17"/>
      <c r="C25" s="406"/>
      <c r="D25" s="36" t="s">
        <v>16</v>
      </c>
      <c r="E25" s="226">
        <f t="shared" ref="E25:K25" si="2">$C$3*E8*$C$14</f>
        <v>59.59008</v>
      </c>
      <c r="F25" s="211">
        <f t="shared" si="2"/>
        <v>59.59008</v>
      </c>
      <c r="G25" s="226">
        <f t="shared" si="2"/>
        <v>2.5367166000000001</v>
      </c>
      <c r="H25" s="211">
        <f t="shared" si="2"/>
        <v>2.5367166000000001</v>
      </c>
      <c r="I25" s="226">
        <f t="shared" si="2"/>
        <v>2.5367166000000001</v>
      </c>
      <c r="J25" s="226">
        <f t="shared" si="2"/>
        <v>1.179387</v>
      </c>
      <c r="K25" s="125">
        <f t="shared" si="2"/>
        <v>0.28967399999999999</v>
      </c>
      <c r="S25" s="17"/>
      <c r="T25" s="17"/>
      <c r="U25" s="17"/>
      <c r="V25" s="17"/>
      <c r="W25" s="17"/>
      <c r="X25" s="17"/>
      <c r="Y25" s="17"/>
      <c r="AH25" s="1"/>
      <c r="AJ25" s="3"/>
      <c r="AK25" s="3"/>
      <c r="AL25" s="10"/>
      <c r="AM25" s="3"/>
    </row>
    <row r="26" spans="1:39" ht="20" thickBot="1" x14ac:dyDescent="0.3">
      <c r="A26" s="85"/>
      <c r="B26" s="17"/>
      <c r="C26" s="406"/>
      <c r="D26" s="42" t="s">
        <v>17</v>
      </c>
      <c r="E26" s="226">
        <f t="shared" ref="E26:K26" si="3">$C$3*E8*$C$15</f>
        <v>36.899279999999997</v>
      </c>
      <c r="F26" s="211">
        <f t="shared" si="3"/>
        <v>36.899279999999997</v>
      </c>
      <c r="G26" s="226">
        <f t="shared" si="3"/>
        <v>1.5707818500000001</v>
      </c>
      <c r="H26" s="211">
        <f t="shared" si="3"/>
        <v>1.5707818500000001</v>
      </c>
      <c r="I26" s="226">
        <f t="shared" si="3"/>
        <v>1.5707818500000001</v>
      </c>
      <c r="J26" s="226">
        <f t="shared" si="3"/>
        <v>0.73029825000000004</v>
      </c>
      <c r="K26" s="125">
        <f t="shared" si="3"/>
        <v>0.17937150000000002</v>
      </c>
      <c r="M26" s="374" t="s">
        <v>47</v>
      </c>
      <c r="N26" s="375"/>
      <c r="O26" s="376"/>
      <c r="S26" s="17"/>
      <c r="T26" s="17"/>
      <c r="U26" s="17"/>
      <c r="V26" s="17"/>
      <c r="W26" s="17"/>
      <c r="X26" s="17"/>
      <c r="Y26" s="17"/>
      <c r="AH26" s="1"/>
      <c r="AJ26" s="3"/>
      <c r="AK26" s="3"/>
      <c r="AL26" s="10"/>
      <c r="AM26" s="3"/>
    </row>
    <row r="27" spans="1:39" ht="16" thickBot="1" x14ac:dyDescent="0.25">
      <c r="A27" s="85"/>
      <c r="B27" s="17"/>
      <c r="C27" s="406"/>
      <c r="D27" s="48" t="s">
        <v>18</v>
      </c>
      <c r="E27" s="226">
        <f t="shared" ref="E27:K27" si="4">$C$4*E8*$C$16</f>
        <v>79.453440000000001</v>
      </c>
      <c r="F27" s="211">
        <f t="shared" si="4"/>
        <v>79.453440000000001</v>
      </c>
      <c r="G27" s="226">
        <f t="shared" si="4"/>
        <v>3.3822888</v>
      </c>
      <c r="H27" s="211">
        <f t="shared" si="4"/>
        <v>3.3822888</v>
      </c>
      <c r="I27" s="226">
        <f t="shared" si="4"/>
        <v>3.3822888</v>
      </c>
      <c r="J27" s="226">
        <f t="shared" si="4"/>
        <v>1.5725159999999998</v>
      </c>
      <c r="K27" s="125">
        <f t="shared" si="4"/>
        <v>0.38623200000000002</v>
      </c>
      <c r="M27" s="171">
        <f>N23-I4</f>
        <v>-238450603.25680017</v>
      </c>
      <c r="N27" s="200" t="s">
        <v>34</v>
      </c>
      <c r="O27" s="199">
        <v>0</v>
      </c>
      <c r="S27" s="17"/>
      <c r="T27" s="17"/>
      <c r="U27" s="17"/>
      <c r="V27" s="17"/>
      <c r="W27" s="17"/>
      <c r="X27" s="17"/>
      <c r="Y27" s="17"/>
      <c r="AJ27" s="3"/>
      <c r="AK27" s="3"/>
      <c r="AL27" s="10"/>
      <c r="AM27" s="3"/>
    </row>
    <row r="28" spans="1:39" ht="16" thickBot="1" x14ac:dyDescent="0.25">
      <c r="A28" s="85"/>
      <c r="B28" s="17"/>
      <c r="C28" s="407"/>
      <c r="D28" s="48" t="s">
        <v>19</v>
      </c>
      <c r="E28" s="222">
        <f t="shared" ref="E28:K28" si="5">$C$4*E8*$C$17</f>
        <v>49.199039999999997</v>
      </c>
      <c r="F28" s="204">
        <f t="shared" si="5"/>
        <v>49.199039999999997</v>
      </c>
      <c r="G28" s="222">
        <f t="shared" si="5"/>
        <v>2.0943757999999999</v>
      </c>
      <c r="H28" s="204">
        <f t="shared" si="5"/>
        <v>2.0943757999999999</v>
      </c>
      <c r="I28" s="222">
        <f t="shared" si="5"/>
        <v>2.0943757999999999</v>
      </c>
      <c r="J28" s="222">
        <f t="shared" si="5"/>
        <v>0.9737309999999999</v>
      </c>
      <c r="K28" s="203">
        <f t="shared" si="5"/>
        <v>0.23916200000000001</v>
      </c>
      <c r="L28" s="178"/>
      <c r="T28" s="17"/>
      <c r="U28" s="17"/>
      <c r="V28" s="17"/>
      <c r="W28" s="17"/>
      <c r="X28" s="118"/>
      <c r="Y28" s="118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0"/>
      <c r="AM28" s="3"/>
    </row>
    <row r="29" spans="1:39" ht="20" thickBot="1" x14ac:dyDescent="0.3">
      <c r="A29" s="85"/>
      <c r="B29" s="17"/>
      <c r="C29" s="17"/>
      <c r="D29" s="48" t="s">
        <v>20</v>
      </c>
      <c r="E29" s="222">
        <f>$C$4*E8*$C$18</f>
        <v>43.718400000000003</v>
      </c>
      <c r="F29" s="204">
        <f t="shared" ref="F29:K29" si="6">$C$4*F8*$C$18</f>
        <v>43.718400000000003</v>
      </c>
      <c r="G29" s="222">
        <f t="shared" si="6"/>
        <v>1.8610679999999999</v>
      </c>
      <c r="H29" s="204">
        <f t="shared" si="6"/>
        <v>1.8610679999999999</v>
      </c>
      <c r="I29" s="222">
        <f t="shared" si="6"/>
        <v>1.8610679999999999</v>
      </c>
      <c r="J29" s="222">
        <f t="shared" si="6"/>
        <v>0.86525999999999992</v>
      </c>
      <c r="K29" s="203">
        <f t="shared" si="6"/>
        <v>0.21252000000000001</v>
      </c>
      <c r="L29" s="178"/>
      <c r="M29" s="374" t="s">
        <v>45</v>
      </c>
      <c r="N29" s="375"/>
      <c r="O29" s="376"/>
      <c r="P29" s="217"/>
      <c r="T29" s="17"/>
      <c r="U29" s="17"/>
      <c r="V29" s="17"/>
      <c r="W29" s="17"/>
      <c r="X29" s="118"/>
      <c r="Y29" s="118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0"/>
      <c r="AM29" s="3"/>
    </row>
    <row r="30" spans="1:39" x14ac:dyDescent="0.2">
      <c r="A30" s="85"/>
      <c r="B30" s="17"/>
      <c r="C30" s="17"/>
      <c r="D30" s="48" t="s">
        <v>21</v>
      </c>
      <c r="E30" s="222">
        <f>$C$4*E8*$C$19</f>
        <v>68.111999999999995</v>
      </c>
      <c r="F30" s="204">
        <f t="shared" ref="F30:K30" si="7">$C$4*F8*$C$19</f>
        <v>68.111999999999995</v>
      </c>
      <c r="G30" s="222">
        <f t="shared" si="7"/>
        <v>2.8994899999999997</v>
      </c>
      <c r="H30" s="204">
        <f t="shared" si="7"/>
        <v>2.8994899999999997</v>
      </c>
      <c r="I30" s="222">
        <f t="shared" si="7"/>
        <v>2.8994899999999997</v>
      </c>
      <c r="J30" s="222">
        <f t="shared" si="7"/>
        <v>1.34805</v>
      </c>
      <c r="K30" s="203">
        <f t="shared" si="7"/>
        <v>0.33110000000000001</v>
      </c>
      <c r="L30" s="178"/>
      <c r="M30" s="392" t="s">
        <v>2</v>
      </c>
      <c r="N30" s="393"/>
      <c r="O30" s="394"/>
      <c r="P30" s="217"/>
      <c r="T30" s="17"/>
      <c r="U30" s="17"/>
      <c r="V30" s="17"/>
      <c r="W30" s="17"/>
      <c r="X30" s="118"/>
      <c r="Y30" s="118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10"/>
      <c r="AM30" s="3"/>
    </row>
    <row r="31" spans="1:39" x14ac:dyDescent="0.2">
      <c r="A31" s="85"/>
      <c r="B31" s="17"/>
      <c r="C31" s="17"/>
      <c r="D31" s="48" t="s">
        <v>22</v>
      </c>
      <c r="E31" s="222">
        <f>$C$4*E8*$C$20</f>
        <v>0.95040000000000002</v>
      </c>
      <c r="F31" s="204">
        <f t="shared" ref="F31:K31" si="8">$C$4*F8*$C$20</f>
        <v>0.95040000000000002</v>
      </c>
      <c r="G31" s="222">
        <f t="shared" si="8"/>
        <v>4.0458000000000001E-2</v>
      </c>
      <c r="H31" s="204">
        <f t="shared" si="8"/>
        <v>4.0458000000000001E-2</v>
      </c>
      <c r="I31" s="222">
        <f t="shared" si="8"/>
        <v>4.0458000000000001E-2</v>
      </c>
      <c r="J31" s="222">
        <f t="shared" si="8"/>
        <v>1.881E-2</v>
      </c>
      <c r="K31" s="203">
        <f t="shared" si="8"/>
        <v>4.62E-3</v>
      </c>
      <c r="L31" s="178"/>
      <c r="M31" s="92">
        <f>SUM(E38:K39)-D3</f>
        <v>0</v>
      </c>
      <c r="N31" s="204" t="s">
        <v>46</v>
      </c>
      <c r="O31" s="203">
        <v>0</v>
      </c>
      <c r="P31" s="217"/>
      <c r="T31" s="17"/>
      <c r="U31" s="17"/>
      <c r="V31" s="17"/>
      <c r="W31" s="17"/>
      <c r="X31" s="118"/>
      <c r="Y31" s="118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10"/>
      <c r="AM31" s="3"/>
    </row>
    <row r="32" spans="1:39" x14ac:dyDescent="0.2">
      <c r="A32" s="85"/>
      <c r="B32" s="17"/>
      <c r="C32" s="17"/>
      <c r="D32" s="48" t="s">
        <v>24</v>
      </c>
      <c r="E32" s="222">
        <f>$C$4*E8*$C$21</f>
        <v>21.859200000000001</v>
      </c>
      <c r="F32" s="204">
        <f t="shared" ref="F32:K32" si="9">$C$4*F8*$C$21</f>
        <v>21.859200000000001</v>
      </c>
      <c r="G32" s="222">
        <f t="shared" si="9"/>
        <v>0.93053399999999997</v>
      </c>
      <c r="H32" s="204">
        <f t="shared" si="9"/>
        <v>0.93053399999999997</v>
      </c>
      <c r="I32" s="222">
        <f t="shared" si="9"/>
        <v>0.93053399999999997</v>
      </c>
      <c r="J32" s="222">
        <f t="shared" si="9"/>
        <v>0.43262999999999996</v>
      </c>
      <c r="K32" s="203">
        <f t="shared" si="9"/>
        <v>0.10626000000000001</v>
      </c>
      <c r="L32" s="178"/>
      <c r="M32" s="395" t="s">
        <v>3</v>
      </c>
      <c r="N32" s="396"/>
      <c r="O32" s="397"/>
      <c r="P32" s="217"/>
      <c r="T32" s="17"/>
      <c r="U32" s="17"/>
      <c r="V32" s="17"/>
      <c r="W32" s="17"/>
      <c r="X32" s="118"/>
      <c r="Y32" s="118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10"/>
      <c r="AM32" s="3"/>
    </row>
    <row r="33" spans="1:40" ht="16" thickBot="1" x14ac:dyDescent="0.25">
      <c r="A33" s="85"/>
      <c r="B33" s="17"/>
      <c r="C33" s="17"/>
      <c r="D33" s="60" t="s">
        <v>25</v>
      </c>
      <c r="E33" s="223">
        <f>$C$4*E8*$C$22</f>
        <v>21.732479999999999</v>
      </c>
      <c r="F33" s="200">
        <f t="shared" ref="F33:K33" si="10">$C$4*F8*$C$22</f>
        <v>21.732479999999999</v>
      </c>
      <c r="G33" s="223">
        <f t="shared" si="10"/>
        <v>0.92513959999999995</v>
      </c>
      <c r="H33" s="200">
        <f t="shared" si="10"/>
        <v>0.92513959999999995</v>
      </c>
      <c r="I33" s="223">
        <f t="shared" si="10"/>
        <v>0.92513959999999995</v>
      </c>
      <c r="J33" s="223">
        <f t="shared" si="10"/>
        <v>0.43012199999999995</v>
      </c>
      <c r="K33" s="199">
        <f t="shared" si="10"/>
        <v>0.105644</v>
      </c>
      <c r="L33" s="178"/>
      <c r="M33" s="96">
        <f>SUM(E40:K46)-D4</f>
        <v>0</v>
      </c>
      <c r="N33" s="200" t="s">
        <v>46</v>
      </c>
      <c r="O33" s="199">
        <v>0</v>
      </c>
      <c r="P33" s="217"/>
      <c r="Q33" s="204"/>
      <c r="R33" s="204"/>
      <c r="S33" s="17"/>
      <c r="T33" s="17"/>
      <c r="U33" s="17"/>
      <c r="V33" s="17"/>
      <c r="W33" s="17"/>
      <c r="X33" s="118"/>
      <c r="Y33" s="118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10"/>
      <c r="AM33" s="3"/>
    </row>
    <row r="34" spans="1:40" ht="16" thickBot="1" x14ac:dyDescent="0.25">
      <c r="A34" s="85"/>
      <c r="B34" s="17"/>
      <c r="C34" s="17"/>
      <c r="D34" s="17"/>
      <c r="E34" s="17"/>
      <c r="F34" s="17"/>
      <c r="G34" s="17"/>
      <c r="H34" s="17"/>
      <c r="I34" s="17"/>
      <c r="J34" s="17"/>
      <c r="K34" s="17"/>
      <c r="Q34" s="17"/>
      <c r="R34" s="17"/>
      <c r="S34" s="17"/>
      <c r="T34" s="17"/>
      <c r="U34" s="17"/>
      <c r="V34" s="17"/>
      <c r="W34" s="17"/>
      <c r="X34" s="118"/>
      <c r="Y34" s="118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10"/>
      <c r="AM34" s="3"/>
    </row>
    <row r="35" spans="1:40" ht="20" thickBot="1" x14ac:dyDescent="0.3">
      <c r="A35" s="85"/>
      <c r="B35" s="17"/>
      <c r="C35" s="17"/>
      <c r="D35" s="93" t="s">
        <v>40</v>
      </c>
      <c r="E35" s="94"/>
      <c r="F35" s="94"/>
      <c r="G35" s="94"/>
      <c r="H35" s="94"/>
      <c r="I35" s="94"/>
      <c r="J35" s="94"/>
      <c r="K35" s="95"/>
      <c r="M35" s="17"/>
      <c r="P35" s="374" t="s">
        <v>52</v>
      </c>
      <c r="Q35" s="375"/>
      <c r="R35" s="375"/>
      <c r="S35" s="375"/>
      <c r="T35" s="375"/>
      <c r="U35" s="375"/>
      <c r="V35" s="375"/>
      <c r="W35" s="375"/>
      <c r="X35" s="376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0"/>
      <c r="AM35" s="3"/>
    </row>
    <row r="36" spans="1:40" ht="20" thickBot="1" x14ac:dyDescent="0.3">
      <c r="A36" s="21"/>
      <c r="B36" s="17"/>
      <c r="C36" s="17"/>
      <c r="D36" s="84"/>
      <c r="E36" s="367" t="s">
        <v>41</v>
      </c>
      <c r="F36" s="367"/>
      <c r="G36" s="367"/>
      <c r="H36" s="367"/>
      <c r="I36" s="367"/>
      <c r="J36" s="367"/>
      <c r="K36" s="366"/>
      <c r="M36" s="17"/>
      <c r="N36" s="254" t="s">
        <v>308</v>
      </c>
      <c r="P36" s="371" t="s">
        <v>50</v>
      </c>
      <c r="Q36" s="372"/>
      <c r="R36" s="372"/>
      <c r="S36" s="373"/>
      <c r="T36" s="210"/>
      <c r="U36" s="371" t="s">
        <v>51</v>
      </c>
      <c r="V36" s="372"/>
      <c r="W36" s="372"/>
      <c r="X36" s="373"/>
      <c r="Y36" s="140"/>
      <c r="Z36" s="140"/>
      <c r="AA36" s="140"/>
      <c r="AB36" s="141"/>
      <c r="AC36" s="140"/>
      <c r="AD36" s="140"/>
      <c r="AE36" s="140"/>
      <c r="AF36" s="140"/>
      <c r="AG36" s="141"/>
      <c r="AH36" s="140"/>
      <c r="AI36" s="140"/>
      <c r="AJ36" s="140"/>
      <c r="AK36" s="140"/>
      <c r="AM36" s="3"/>
    </row>
    <row r="37" spans="1:40" ht="19" x14ac:dyDescent="0.25">
      <c r="A37" s="21"/>
      <c r="B37" s="17"/>
      <c r="C37" s="17"/>
      <c r="D37" s="98" t="s">
        <v>43</v>
      </c>
      <c r="E37" s="99" t="s">
        <v>5</v>
      </c>
      <c r="F37" s="100" t="s">
        <v>6</v>
      </c>
      <c r="G37" s="100" t="s">
        <v>7</v>
      </c>
      <c r="H37" s="100" t="s">
        <v>8</v>
      </c>
      <c r="I37" s="100" t="s">
        <v>9</v>
      </c>
      <c r="J37" s="100" t="s">
        <v>10</v>
      </c>
      <c r="K37" s="101" t="s">
        <v>11</v>
      </c>
      <c r="L37" s="158" t="s">
        <v>62</v>
      </c>
      <c r="M37" s="158" t="s">
        <v>36</v>
      </c>
      <c r="N37" s="253" t="s">
        <v>307</v>
      </c>
      <c r="P37" s="202"/>
      <c r="Q37" s="204" t="s">
        <v>54</v>
      </c>
      <c r="R37" s="204"/>
      <c r="S37" s="58" t="s">
        <v>55</v>
      </c>
      <c r="T37" s="204"/>
      <c r="U37" s="202"/>
      <c r="V37" s="204" t="s">
        <v>54</v>
      </c>
      <c r="W37" s="204"/>
      <c r="X37" s="203" t="s">
        <v>55</v>
      </c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M37" s="3"/>
    </row>
    <row r="38" spans="1:40" x14ac:dyDescent="0.2">
      <c r="A38" s="21"/>
      <c r="B38" s="17"/>
      <c r="C38" s="224"/>
      <c r="D38" s="104" t="s">
        <v>16</v>
      </c>
      <c r="E38" s="105">
        <v>53000</v>
      </c>
      <c r="F38" s="105">
        <v>0</v>
      </c>
      <c r="G38" s="105">
        <v>0</v>
      </c>
      <c r="H38" s="105">
        <v>0</v>
      </c>
      <c r="I38" s="105">
        <v>79500</v>
      </c>
      <c r="J38" s="105">
        <v>79500</v>
      </c>
      <c r="K38" s="41">
        <v>318000</v>
      </c>
      <c r="L38" s="159">
        <v>1</v>
      </c>
      <c r="M38" s="229">
        <f t="shared" ref="M38:M46" si="11">SUM(E38:K38)</f>
        <v>530000</v>
      </c>
      <c r="N38" s="222">
        <f t="shared" ref="N38:N46" si="12">SUMPRODUCT(E25:K25,E38:K38)</f>
        <v>3545820.8082000003</v>
      </c>
      <c r="P38" s="167" t="s">
        <v>16</v>
      </c>
      <c r="Q38" s="126">
        <f t="shared" ref="Q38:Q46" si="13">(L38*200000)-SUM(E38:K38)</f>
        <v>-330000</v>
      </c>
      <c r="R38" s="204" t="s">
        <v>49</v>
      </c>
      <c r="S38" s="125">
        <v>0</v>
      </c>
      <c r="T38" s="211"/>
      <c r="U38" s="167" t="s">
        <v>16</v>
      </c>
      <c r="V38" s="126">
        <f t="shared" ref="V38:V46" si="14">(L38*600000)-SUM(E38:K38)</f>
        <v>70000</v>
      </c>
      <c r="W38" s="204" t="s">
        <v>48</v>
      </c>
      <c r="X38" s="203">
        <v>0</v>
      </c>
      <c r="Y38" s="141"/>
      <c r="Z38" s="142"/>
      <c r="AA38" s="141"/>
      <c r="AB38" s="141"/>
      <c r="AC38" s="103"/>
      <c r="AD38" s="143"/>
      <c r="AE38" s="142"/>
      <c r="AF38" s="141"/>
      <c r="AG38" s="141"/>
      <c r="AH38" s="103"/>
      <c r="AI38" s="141"/>
      <c r="AJ38" s="142"/>
      <c r="AK38" s="141"/>
      <c r="AM38" s="3"/>
    </row>
    <row r="39" spans="1:40" x14ac:dyDescent="0.2">
      <c r="A39" s="17"/>
      <c r="B39" s="17"/>
      <c r="C39" s="17"/>
      <c r="D39" s="107" t="s">
        <v>17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9">
        <v>0</v>
      </c>
      <c r="L39" s="159">
        <v>0</v>
      </c>
      <c r="M39" s="229">
        <f t="shared" si="11"/>
        <v>0</v>
      </c>
      <c r="N39" s="222">
        <f t="shared" si="12"/>
        <v>0</v>
      </c>
      <c r="P39" s="168" t="s">
        <v>17</v>
      </c>
      <c r="Q39" s="126">
        <f t="shared" si="13"/>
        <v>0</v>
      </c>
      <c r="R39" s="204" t="s">
        <v>49</v>
      </c>
      <c r="S39" s="125">
        <v>0</v>
      </c>
      <c r="T39" s="211"/>
      <c r="U39" s="168" t="s">
        <v>17</v>
      </c>
      <c r="V39" s="126">
        <f t="shared" si="14"/>
        <v>0</v>
      </c>
      <c r="W39" s="204" t="s">
        <v>48</v>
      </c>
      <c r="X39" s="203">
        <v>0</v>
      </c>
      <c r="Y39" s="141"/>
      <c r="Z39" s="142"/>
      <c r="AA39" s="144"/>
      <c r="AB39" s="144"/>
      <c r="AC39" s="103"/>
      <c r="AD39" s="143"/>
      <c r="AE39" s="142"/>
      <c r="AF39" s="144"/>
      <c r="AG39" s="141"/>
      <c r="AH39" s="103"/>
      <c r="AI39" s="141"/>
      <c r="AJ39" s="142"/>
      <c r="AK39" s="144"/>
      <c r="AM39" s="3"/>
    </row>
    <row r="40" spans="1:40" x14ac:dyDescent="0.2">
      <c r="A40" s="17"/>
      <c r="B40" s="17"/>
      <c r="C40" s="17"/>
      <c r="D40" s="110" t="s">
        <v>18</v>
      </c>
      <c r="E40" s="111">
        <v>0</v>
      </c>
      <c r="F40" s="111">
        <v>0</v>
      </c>
      <c r="G40" s="111">
        <v>0</v>
      </c>
      <c r="H40" s="111">
        <v>20</v>
      </c>
      <c r="I40" s="111">
        <v>1</v>
      </c>
      <c r="J40" s="111">
        <v>0</v>
      </c>
      <c r="K40" s="53">
        <v>199979</v>
      </c>
      <c r="L40" s="159">
        <v>1</v>
      </c>
      <c r="M40" s="229">
        <f t="shared" si="11"/>
        <v>200000</v>
      </c>
      <c r="N40" s="222">
        <f t="shared" si="12"/>
        <v>77309.317192800008</v>
      </c>
      <c r="P40" s="169" t="s">
        <v>18</v>
      </c>
      <c r="Q40" s="126">
        <f t="shared" si="13"/>
        <v>0</v>
      </c>
      <c r="R40" s="204" t="s">
        <v>49</v>
      </c>
      <c r="S40" s="203">
        <v>0</v>
      </c>
      <c r="T40" s="204"/>
      <c r="U40" s="169" t="s">
        <v>18</v>
      </c>
      <c r="V40" s="126">
        <f t="shared" si="14"/>
        <v>400000</v>
      </c>
      <c r="W40" s="204" t="s">
        <v>48</v>
      </c>
      <c r="X40" s="203">
        <v>0</v>
      </c>
      <c r="Y40" s="141"/>
      <c r="Z40" s="142"/>
      <c r="AA40" s="144"/>
      <c r="AB40" s="144"/>
      <c r="AC40" s="103"/>
      <c r="AD40" s="143"/>
      <c r="AE40" s="142"/>
      <c r="AF40" s="144"/>
      <c r="AG40" s="141"/>
      <c r="AH40" s="103"/>
      <c r="AI40" s="144"/>
      <c r="AJ40" s="142"/>
      <c r="AK40" s="144"/>
      <c r="AM40" s="12"/>
      <c r="AN40" s="9"/>
    </row>
    <row r="41" spans="1:40" x14ac:dyDescent="0.2">
      <c r="A41" s="17"/>
      <c r="B41" s="17"/>
      <c r="C41" s="17"/>
      <c r="D41" s="110" t="s">
        <v>19</v>
      </c>
      <c r="E41" s="111">
        <v>0</v>
      </c>
      <c r="F41" s="111">
        <v>0</v>
      </c>
      <c r="G41" s="111">
        <v>0</v>
      </c>
      <c r="H41" s="111">
        <v>0</v>
      </c>
      <c r="I41" s="111">
        <v>0</v>
      </c>
      <c r="J41" s="112">
        <v>0</v>
      </c>
      <c r="K41" s="53">
        <v>0</v>
      </c>
      <c r="L41" s="159">
        <v>0</v>
      </c>
      <c r="M41" s="229">
        <f t="shared" si="11"/>
        <v>0</v>
      </c>
      <c r="N41" s="222">
        <f t="shared" si="12"/>
        <v>0</v>
      </c>
      <c r="P41" s="169" t="s">
        <v>19</v>
      </c>
      <c r="Q41" s="126">
        <f t="shared" si="13"/>
        <v>0</v>
      </c>
      <c r="R41" s="204" t="s">
        <v>49</v>
      </c>
      <c r="S41" s="203">
        <v>0</v>
      </c>
      <c r="T41" s="204"/>
      <c r="U41" s="169" t="s">
        <v>19</v>
      </c>
      <c r="V41" s="126">
        <f t="shared" si="14"/>
        <v>0</v>
      </c>
      <c r="W41" s="204" t="s">
        <v>48</v>
      </c>
      <c r="X41" s="203">
        <v>0</v>
      </c>
      <c r="Y41" s="141"/>
      <c r="Z41" s="142"/>
      <c r="AA41" s="141"/>
      <c r="AB41" s="141"/>
      <c r="AC41" s="103"/>
      <c r="AD41" s="143"/>
      <c r="AE41" s="142"/>
      <c r="AF41" s="141"/>
      <c r="AG41" s="141"/>
      <c r="AH41" s="103"/>
      <c r="AI41" s="144"/>
      <c r="AJ41" s="142"/>
      <c r="AK41" s="141"/>
      <c r="AM41" s="9"/>
      <c r="AN41" s="9"/>
    </row>
    <row r="42" spans="1:40" x14ac:dyDescent="0.2">
      <c r="A42" s="17"/>
      <c r="B42" s="17"/>
      <c r="C42" s="17"/>
      <c r="D42" s="110" t="s">
        <v>20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2">
        <v>0</v>
      </c>
      <c r="K42" s="53">
        <v>0</v>
      </c>
      <c r="L42" s="159">
        <v>0</v>
      </c>
      <c r="M42" s="229">
        <f t="shared" si="11"/>
        <v>0</v>
      </c>
      <c r="N42" s="222">
        <f t="shared" si="12"/>
        <v>0</v>
      </c>
      <c r="P42" s="169" t="s">
        <v>20</v>
      </c>
      <c r="Q42" s="126">
        <f t="shared" si="13"/>
        <v>0</v>
      </c>
      <c r="R42" s="204" t="s">
        <v>49</v>
      </c>
      <c r="S42" s="203">
        <v>0</v>
      </c>
      <c r="T42" s="204"/>
      <c r="U42" s="169" t="s">
        <v>20</v>
      </c>
      <c r="V42" s="126">
        <f t="shared" si="14"/>
        <v>0</v>
      </c>
      <c r="W42" s="204" t="s">
        <v>48</v>
      </c>
      <c r="X42" s="203">
        <v>0</v>
      </c>
      <c r="Y42" s="141"/>
      <c r="Z42" s="142"/>
      <c r="AA42" s="141"/>
      <c r="AB42" s="141"/>
      <c r="AC42" s="103"/>
      <c r="AD42" s="143"/>
      <c r="AE42" s="142"/>
      <c r="AF42" s="141"/>
      <c r="AG42" s="141"/>
      <c r="AH42" s="103"/>
      <c r="AI42" s="144"/>
      <c r="AJ42" s="142"/>
      <c r="AK42" s="141"/>
    </row>
    <row r="43" spans="1:40" x14ac:dyDescent="0.2">
      <c r="A43" s="17"/>
      <c r="B43" s="17"/>
      <c r="C43" s="17"/>
      <c r="D43" s="110" t="s">
        <v>21</v>
      </c>
      <c r="E43" s="111">
        <v>7204</v>
      </c>
      <c r="F43" s="111">
        <v>0</v>
      </c>
      <c r="G43" s="111">
        <v>0</v>
      </c>
      <c r="H43" s="111">
        <v>0</v>
      </c>
      <c r="I43" s="111">
        <v>91979</v>
      </c>
      <c r="J43" s="111">
        <v>138000</v>
      </c>
      <c r="K43" s="53">
        <v>282817</v>
      </c>
      <c r="L43" s="159">
        <v>1</v>
      </c>
      <c r="M43" s="229">
        <f t="shared" si="11"/>
        <v>520000</v>
      </c>
      <c r="N43" s="222">
        <f t="shared" si="12"/>
        <v>1037042.64741</v>
      </c>
      <c r="P43" s="169" t="s">
        <v>21</v>
      </c>
      <c r="Q43" s="126">
        <f t="shared" si="13"/>
        <v>-320000</v>
      </c>
      <c r="R43" s="204" t="s">
        <v>49</v>
      </c>
      <c r="S43" s="203">
        <v>0</v>
      </c>
      <c r="T43" s="204"/>
      <c r="U43" s="169" t="s">
        <v>21</v>
      </c>
      <c r="V43" s="126">
        <f t="shared" si="14"/>
        <v>80000</v>
      </c>
      <c r="W43" s="204" t="s">
        <v>48</v>
      </c>
      <c r="X43" s="203">
        <v>0</v>
      </c>
      <c r="Y43" s="141"/>
      <c r="Z43" s="142"/>
      <c r="AA43" s="141"/>
      <c r="AB43" s="141"/>
      <c r="AC43" s="103"/>
      <c r="AD43" s="143"/>
      <c r="AE43" s="142"/>
      <c r="AF43" s="141"/>
      <c r="AG43" s="141"/>
      <c r="AH43" s="103"/>
      <c r="AI43" s="144"/>
      <c r="AJ43" s="142"/>
      <c r="AK43" s="141"/>
    </row>
    <row r="44" spans="1:40" x14ac:dyDescent="0.2">
      <c r="A44" s="17"/>
      <c r="B44" s="17"/>
      <c r="C44" s="17"/>
      <c r="D44" s="110" t="s">
        <v>22</v>
      </c>
      <c r="E44" s="103">
        <v>0</v>
      </c>
      <c r="F44" s="103">
        <v>0</v>
      </c>
      <c r="G44" s="111">
        <v>0</v>
      </c>
      <c r="H44" s="111">
        <v>0</v>
      </c>
      <c r="I44" s="111">
        <v>0</v>
      </c>
      <c r="J44" s="103">
        <v>0</v>
      </c>
      <c r="K44" s="58">
        <v>0</v>
      </c>
      <c r="L44" s="159">
        <v>0</v>
      </c>
      <c r="M44" s="229">
        <f t="shared" si="11"/>
        <v>0</v>
      </c>
      <c r="N44" s="222">
        <f t="shared" si="12"/>
        <v>0</v>
      </c>
      <c r="P44" s="169" t="s">
        <v>22</v>
      </c>
      <c r="Q44" s="126">
        <f t="shared" si="13"/>
        <v>0</v>
      </c>
      <c r="R44" s="204" t="s">
        <v>49</v>
      </c>
      <c r="S44" s="203">
        <v>0</v>
      </c>
      <c r="T44" s="204"/>
      <c r="U44" s="169" t="s">
        <v>22</v>
      </c>
      <c r="V44" s="126">
        <f t="shared" si="14"/>
        <v>0</v>
      </c>
      <c r="W44" s="204" t="s">
        <v>48</v>
      </c>
      <c r="X44" s="203">
        <v>0</v>
      </c>
      <c r="Y44" s="141"/>
      <c r="Z44" s="142"/>
      <c r="AA44" s="141"/>
      <c r="AB44" s="141"/>
      <c r="AC44" s="103"/>
      <c r="AD44" s="143"/>
      <c r="AE44" s="142"/>
      <c r="AF44" s="141"/>
      <c r="AG44" s="141"/>
      <c r="AH44" s="103"/>
      <c r="AI44" s="144"/>
      <c r="AJ44" s="142"/>
      <c r="AK44" s="141"/>
    </row>
    <row r="45" spans="1:40" x14ac:dyDescent="0.2">
      <c r="A45" s="17"/>
      <c r="B45" s="17"/>
      <c r="C45" s="17"/>
      <c r="D45" s="110" t="s">
        <v>24</v>
      </c>
      <c r="E45" s="111">
        <v>0</v>
      </c>
      <c r="F45" s="111">
        <v>0</v>
      </c>
      <c r="G45" s="103">
        <v>0</v>
      </c>
      <c r="H45" s="103">
        <v>0</v>
      </c>
      <c r="I45" s="103">
        <v>0</v>
      </c>
      <c r="J45" s="103">
        <v>0</v>
      </c>
      <c r="K45" s="53">
        <v>0</v>
      </c>
      <c r="L45" s="159">
        <v>0</v>
      </c>
      <c r="M45" s="229">
        <f t="shared" si="11"/>
        <v>0</v>
      </c>
      <c r="N45" s="222">
        <f t="shared" si="12"/>
        <v>0</v>
      </c>
      <c r="P45" s="169" t="s">
        <v>24</v>
      </c>
      <c r="Q45" s="126">
        <f t="shared" si="13"/>
        <v>0</v>
      </c>
      <c r="R45" s="204" t="s">
        <v>49</v>
      </c>
      <c r="S45" s="203">
        <v>0</v>
      </c>
      <c r="T45" s="204"/>
      <c r="U45" s="169" t="s">
        <v>24</v>
      </c>
      <c r="V45" s="126">
        <f t="shared" si="14"/>
        <v>0</v>
      </c>
      <c r="W45" s="204" t="s">
        <v>48</v>
      </c>
      <c r="X45" s="203">
        <v>0</v>
      </c>
      <c r="Y45" s="141"/>
      <c r="Z45" s="142"/>
      <c r="AA45" s="141"/>
      <c r="AB45" s="141"/>
      <c r="AC45" s="103"/>
      <c r="AD45" s="143"/>
      <c r="AE45" s="142"/>
      <c r="AF45" s="141"/>
      <c r="AG45" s="141"/>
      <c r="AH45" s="103"/>
      <c r="AI45" s="144"/>
      <c r="AJ45" s="142"/>
      <c r="AK45" s="141"/>
    </row>
    <row r="46" spans="1:40" ht="16" thickBot="1" x14ac:dyDescent="0.25">
      <c r="A46" s="17"/>
      <c r="B46" s="17"/>
      <c r="C46" s="17"/>
      <c r="D46" s="113" t="s">
        <v>25</v>
      </c>
      <c r="E46" s="114">
        <v>38796</v>
      </c>
      <c r="F46" s="114">
        <v>0</v>
      </c>
      <c r="G46" s="114">
        <v>0</v>
      </c>
      <c r="H46" s="114">
        <v>0</v>
      </c>
      <c r="I46" s="114">
        <v>0</v>
      </c>
      <c r="J46" s="114">
        <v>0</v>
      </c>
      <c r="K46" s="66">
        <v>161204</v>
      </c>
      <c r="L46" s="160">
        <v>1</v>
      </c>
      <c r="M46" s="230">
        <f t="shared" si="11"/>
        <v>200000</v>
      </c>
      <c r="N46" s="223">
        <f t="shared" si="12"/>
        <v>860163.52945599996</v>
      </c>
      <c r="P46" s="170" t="s">
        <v>25</v>
      </c>
      <c r="Q46" s="212">
        <f t="shared" si="13"/>
        <v>0</v>
      </c>
      <c r="R46" s="200" t="s">
        <v>49</v>
      </c>
      <c r="S46" s="199">
        <v>0</v>
      </c>
      <c r="T46" s="200"/>
      <c r="U46" s="170" t="s">
        <v>25</v>
      </c>
      <c r="V46" s="212">
        <f t="shared" si="14"/>
        <v>400000</v>
      </c>
      <c r="W46" s="200" t="s">
        <v>48</v>
      </c>
      <c r="X46" s="199">
        <v>0</v>
      </c>
      <c r="Y46" s="141"/>
      <c r="Z46" s="142"/>
      <c r="AA46" s="141"/>
      <c r="AB46" s="141"/>
      <c r="AC46" s="103"/>
      <c r="AD46" s="143"/>
      <c r="AE46" s="142"/>
      <c r="AF46" s="141"/>
      <c r="AG46" s="141"/>
      <c r="AH46" s="103"/>
      <c r="AI46" s="144"/>
      <c r="AJ46" s="142"/>
      <c r="AK46" s="141"/>
    </row>
    <row r="47" spans="1:40" ht="20" thickBot="1" x14ac:dyDescent="0.3">
      <c r="A47" s="17"/>
      <c r="B47" s="17"/>
      <c r="C47" s="17"/>
      <c r="D47" s="115" t="s">
        <v>37</v>
      </c>
      <c r="E47" s="116">
        <f t="shared" ref="E47:K47" si="15">SUM(E38:E46)</f>
        <v>99000</v>
      </c>
      <c r="F47" s="116">
        <f t="shared" si="15"/>
        <v>0</v>
      </c>
      <c r="G47" s="116">
        <f t="shared" si="15"/>
        <v>0</v>
      </c>
      <c r="H47" s="116">
        <f t="shared" si="15"/>
        <v>20</v>
      </c>
      <c r="I47" s="116">
        <f t="shared" si="15"/>
        <v>171480</v>
      </c>
      <c r="J47" s="116">
        <f t="shared" si="15"/>
        <v>217500</v>
      </c>
      <c r="K47" s="117">
        <f t="shared" si="15"/>
        <v>962000</v>
      </c>
      <c r="L47" s="118"/>
      <c r="M47" s="228"/>
      <c r="N47" s="252">
        <f>SUM(N38:N46)</f>
        <v>5520336.3022587998</v>
      </c>
      <c r="O47" s="121"/>
      <c r="P47" s="121"/>
      <c r="Q47" s="121"/>
      <c r="R47" s="121"/>
      <c r="S47" s="121"/>
      <c r="T47" s="121"/>
      <c r="U47" s="121"/>
      <c r="V47" s="121"/>
      <c r="W47" s="121"/>
      <c r="X47" s="127"/>
      <c r="Y47" s="127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</row>
    <row r="48" spans="1:40" ht="16" thickBo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302" t="s">
        <v>49</v>
      </c>
      <c r="X48" s="17"/>
      <c r="Y48" s="17"/>
    </row>
    <row r="49" spans="1:52" ht="20" thickBot="1" x14ac:dyDescent="0.3">
      <c r="A49" s="17"/>
      <c r="B49" s="17"/>
      <c r="C49" s="17"/>
      <c r="D49" s="118"/>
      <c r="E49" s="374" t="s">
        <v>60</v>
      </c>
      <c r="F49" s="375"/>
      <c r="G49" s="375"/>
      <c r="H49" s="375"/>
      <c r="I49" s="375"/>
      <c r="J49" s="376"/>
      <c r="K49" s="17"/>
      <c r="L49" s="17"/>
      <c r="M49" s="17"/>
      <c r="N49" s="223">
        <f>7944511.034-(7944511.034*0.3)</f>
        <v>5561157.7237999998</v>
      </c>
      <c r="X49" s="17"/>
      <c r="Y49" s="17"/>
    </row>
    <row r="50" spans="1:52" ht="16" thickBot="1" x14ac:dyDescent="0.25">
      <c r="A50" s="17"/>
      <c r="B50" s="17"/>
      <c r="C50" s="17"/>
      <c r="D50" s="118"/>
      <c r="E50" s="353" t="s">
        <v>59</v>
      </c>
      <c r="F50" s="354"/>
      <c r="G50" s="353" t="s">
        <v>61</v>
      </c>
      <c r="H50" s="355"/>
      <c r="I50" s="354"/>
      <c r="J50" s="122" t="s">
        <v>10</v>
      </c>
      <c r="K50" s="119"/>
      <c r="L50" s="17"/>
      <c r="M50" s="17"/>
      <c r="N50" s="17"/>
      <c r="X50" s="17"/>
      <c r="Y50" s="17"/>
    </row>
    <row r="51" spans="1:52" x14ac:dyDescent="0.2">
      <c r="A51" s="17"/>
      <c r="B51" s="17"/>
      <c r="C51" s="17"/>
      <c r="D51" s="118"/>
      <c r="E51" s="362">
        <f>SUM(E38:F39)-E9</f>
        <v>0</v>
      </c>
      <c r="F51" s="363"/>
      <c r="G51" s="362">
        <f>SUM(G38:I39)-G9</f>
        <v>0</v>
      </c>
      <c r="H51" s="364"/>
      <c r="I51" s="363"/>
      <c r="J51" s="120">
        <f>SUM(J38:J39)-J9</f>
        <v>0</v>
      </c>
      <c r="K51" s="88"/>
      <c r="L51" s="17"/>
      <c r="X51" s="17"/>
      <c r="Y51" s="17"/>
    </row>
    <row r="52" spans="1:52" x14ac:dyDescent="0.2">
      <c r="A52" s="17"/>
      <c r="B52" s="17"/>
      <c r="C52" s="17"/>
      <c r="D52" s="118"/>
      <c r="E52" s="365" t="s">
        <v>48</v>
      </c>
      <c r="F52" s="366"/>
      <c r="G52" s="365" t="s">
        <v>48</v>
      </c>
      <c r="H52" s="367"/>
      <c r="I52" s="366"/>
      <c r="J52" s="203" t="s">
        <v>48</v>
      </c>
      <c r="K52" s="121"/>
      <c r="L52" s="17"/>
    </row>
    <row r="53" spans="1:52" ht="16" thickBot="1" x14ac:dyDescent="0.25">
      <c r="A53" s="17"/>
      <c r="B53" s="17"/>
      <c r="C53" s="17"/>
      <c r="D53" s="118"/>
      <c r="E53" s="356">
        <v>0</v>
      </c>
      <c r="F53" s="357"/>
      <c r="G53" s="356">
        <v>0</v>
      </c>
      <c r="H53" s="358"/>
      <c r="I53" s="357"/>
      <c r="J53" s="199">
        <v>0</v>
      </c>
      <c r="K53" s="121"/>
      <c r="L53" s="17"/>
    </row>
    <row r="54" spans="1:52" ht="15" customHeight="1" thickBot="1" x14ac:dyDescent="0.25">
      <c r="A54" s="17"/>
      <c r="B54" s="17"/>
      <c r="C54" s="17"/>
      <c r="D54" s="118"/>
      <c r="E54" s="359" t="s">
        <v>59</v>
      </c>
      <c r="F54" s="360"/>
      <c r="G54" s="359" t="s">
        <v>61</v>
      </c>
      <c r="H54" s="361"/>
      <c r="I54" s="360"/>
      <c r="J54" s="201" t="s">
        <v>10</v>
      </c>
      <c r="K54" s="17"/>
      <c r="L54" s="17"/>
    </row>
    <row r="55" spans="1:52" x14ac:dyDescent="0.2">
      <c r="A55" s="17"/>
      <c r="B55" s="17"/>
      <c r="C55" s="17"/>
      <c r="D55" s="118"/>
      <c r="E55" s="362">
        <f>SUM(E40:F46)-E10</f>
        <v>0</v>
      </c>
      <c r="F55" s="363"/>
      <c r="G55" s="362">
        <f>SUM(G40:I46)-G10</f>
        <v>0</v>
      </c>
      <c r="H55" s="364"/>
      <c r="I55" s="363"/>
      <c r="J55" s="120">
        <f>SUM(J40:J46)-J10</f>
        <v>0</v>
      </c>
      <c r="K55" s="119"/>
      <c r="L55" s="17"/>
      <c r="M55" s="17"/>
      <c r="N55" s="17"/>
    </row>
    <row r="56" spans="1:52" x14ac:dyDescent="0.2">
      <c r="A56" s="17"/>
      <c r="B56" s="17"/>
      <c r="C56" s="17"/>
      <c r="D56" s="118"/>
      <c r="E56" s="365" t="s">
        <v>48</v>
      </c>
      <c r="F56" s="366"/>
      <c r="G56" s="365" t="s">
        <v>48</v>
      </c>
      <c r="H56" s="367"/>
      <c r="I56" s="366"/>
      <c r="J56" s="203" t="s">
        <v>48</v>
      </c>
      <c r="K56" s="121"/>
      <c r="L56" s="17"/>
      <c r="M56" s="17"/>
      <c r="N56" s="17"/>
      <c r="AZ56" s="11"/>
    </row>
    <row r="57" spans="1:52" ht="16" thickBot="1" x14ac:dyDescent="0.25">
      <c r="A57" s="17"/>
      <c r="B57" s="17"/>
      <c r="C57" s="17"/>
      <c r="D57" s="118"/>
      <c r="E57" s="356">
        <v>0</v>
      </c>
      <c r="F57" s="357"/>
      <c r="G57" s="356">
        <v>0</v>
      </c>
      <c r="H57" s="358"/>
      <c r="I57" s="357"/>
      <c r="J57" s="199">
        <v>0</v>
      </c>
      <c r="K57" s="121"/>
      <c r="L57" s="17"/>
      <c r="M57" s="17"/>
      <c r="N57" s="17"/>
      <c r="AZ57" s="11"/>
    </row>
    <row r="58" spans="1:52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AZ58" s="11"/>
    </row>
    <row r="59" spans="1:52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AZ59" s="11"/>
    </row>
    <row r="60" spans="1:52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AZ60" s="8"/>
    </row>
    <row r="61" spans="1:52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AZ61" s="8"/>
    </row>
    <row r="62" spans="1:52" x14ac:dyDescent="0.2">
      <c r="AZ62" s="8"/>
    </row>
    <row r="63" spans="1:52" x14ac:dyDescent="0.2">
      <c r="AY63" s="10"/>
    </row>
    <row r="86" spans="2:10" x14ac:dyDescent="0.2">
      <c r="D86" s="3"/>
    </row>
    <row r="87" spans="2:10" x14ac:dyDescent="0.2">
      <c r="D87" s="5"/>
    </row>
    <row r="88" spans="2:10" x14ac:dyDescent="0.2">
      <c r="D88" s="6"/>
    </row>
    <row r="89" spans="2:10" x14ac:dyDescent="0.2">
      <c r="D89" s="6"/>
    </row>
    <row r="90" spans="2:10" x14ac:dyDescent="0.2">
      <c r="D90" s="6"/>
    </row>
    <row r="95" spans="2:10" x14ac:dyDescent="0.2">
      <c r="B95" s="4"/>
      <c r="C95" s="4"/>
      <c r="D95" s="4"/>
      <c r="E95" s="4"/>
      <c r="F95" s="4"/>
      <c r="G95" s="4"/>
      <c r="H95" s="4"/>
      <c r="I95" s="4"/>
      <c r="J95" s="4"/>
    </row>
    <row r="96" spans="2:10" x14ac:dyDescent="0.2">
      <c r="B96" s="4"/>
      <c r="C96" s="4"/>
      <c r="D96" s="4"/>
      <c r="E96" s="4"/>
      <c r="F96" s="4"/>
      <c r="G96" s="4"/>
      <c r="H96" s="4"/>
      <c r="I96" s="4"/>
      <c r="J96" s="4"/>
    </row>
    <row r="97" spans="2:10" x14ac:dyDescent="0.2">
      <c r="B97" s="4"/>
      <c r="C97" s="4"/>
      <c r="D97" s="4"/>
      <c r="E97" s="4"/>
      <c r="F97" s="4"/>
      <c r="G97" s="4"/>
      <c r="H97" s="4"/>
      <c r="I97" s="4"/>
      <c r="J97" s="4"/>
    </row>
    <row r="98" spans="2:10" x14ac:dyDescent="0.2">
      <c r="B98" s="4"/>
      <c r="C98" s="4"/>
      <c r="D98" s="4"/>
      <c r="E98" s="4"/>
      <c r="F98" s="4"/>
      <c r="G98" s="4"/>
      <c r="H98" s="4"/>
      <c r="I98" s="4"/>
      <c r="J98" s="4"/>
    </row>
    <row r="99" spans="2:10" x14ac:dyDescent="0.2">
      <c r="B99" s="4"/>
      <c r="C99" s="5"/>
      <c r="D99" s="5"/>
      <c r="E99" s="5"/>
      <c r="F99" s="5"/>
      <c r="G99" s="5"/>
      <c r="H99" s="5"/>
      <c r="I99" s="5"/>
      <c r="J99" s="5"/>
    </row>
    <row r="100" spans="2:10" x14ac:dyDescent="0.2">
      <c r="B100" s="4"/>
      <c r="C100" s="2"/>
      <c r="D100" s="6"/>
      <c r="E100" s="6"/>
      <c r="F100" s="7"/>
      <c r="G100" s="6"/>
      <c r="H100" s="4"/>
      <c r="I100" s="4"/>
      <c r="J100" s="4"/>
    </row>
    <row r="101" spans="2:10" x14ac:dyDescent="0.2">
      <c r="B101" s="4"/>
      <c r="C101" s="2"/>
      <c r="D101" s="4"/>
      <c r="E101" s="4"/>
      <c r="F101" s="7"/>
      <c r="G101" s="6"/>
      <c r="H101" s="4"/>
      <c r="I101" s="4"/>
      <c r="J101" s="4"/>
    </row>
    <row r="102" spans="2:10" x14ac:dyDescent="0.2">
      <c r="B102" s="4"/>
      <c r="C102" s="4"/>
      <c r="D102" s="4"/>
      <c r="E102" s="4"/>
      <c r="F102" s="4"/>
      <c r="G102" s="4"/>
      <c r="H102" s="6"/>
      <c r="I102" s="4"/>
      <c r="J102" s="4"/>
    </row>
    <row r="103" spans="2:10" x14ac:dyDescent="0.2">
      <c r="B103" s="4"/>
      <c r="C103" s="2"/>
      <c r="D103" s="6"/>
      <c r="E103" s="6"/>
      <c r="F103" s="7"/>
      <c r="G103" s="6"/>
      <c r="H103" s="4"/>
      <c r="I103" s="4"/>
      <c r="J103" s="4"/>
    </row>
    <row r="104" spans="2:10" x14ac:dyDescent="0.2">
      <c r="B104" s="4"/>
      <c r="C104" s="2"/>
      <c r="D104" s="4"/>
      <c r="E104" s="4"/>
      <c r="F104" s="7"/>
      <c r="G104" s="6"/>
      <c r="H104" s="4"/>
      <c r="I104" s="4"/>
      <c r="J104" s="4"/>
    </row>
    <row r="105" spans="2:10" x14ac:dyDescent="0.2">
      <c r="B105" s="4"/>
      <c r="C105" s="4"/>
      <c r="D105" s="4"/>
      <c r="E105" s="4"/>
      <c r="F105" s="4"/>
      <c r="G105" s="4"/>
      <c r="H105" s="4"/>
      <c r="I105" s="4"/>
      <c r="J105" s="4"/>
    </row>
  </sheetData>
  <mergeCells count="37">
    <mergeCell ref="M6:O6"/>
    <mergeCell ref="E6:K6"/>
    <mergeCell ref="C8:D8"/>
    <mergeCell ref="C9:D9"/>
    <mergeCell ref="E9:F9"/>
    <mergeCell ref="G9:I9"/>
    <mergeCell ref="M30:O30"/>
    <mergeCell ref="M32:O32"/>
    <mergeCell ref="C10:D10"/>
    <mergeCell ref="E10:F10"/>
    <mergeCell ref="G10:I10"/>
    <mergeCell ref="E12:K12"/>
    <mergeCell ref="M12:O12"/>
    <mergeCell ref="C24:C28"/>
    <mergeCell ref="M26:O26"/>
    <mergeCell ref="M29:O29"/>
    <mergeCell ref="P35:X35"/>
    <mergeCell ref="E36:K36"/>
    <mergeCell ref="P36:S36"/>
    <mergeCell ref="U36:X36"/>
    <mergeCell ref="E50:F50"/>
    <mergeCell ref="G50:I50"/>
    <mergeCell ref="E49:J49"/>
    <mergeCell ref="E51:F51"/>
    <mergeCell ref="G51:I51"/>
    <mergeCell ref="E52:F52"/>
    <mergeCell ref="G52:I52"/>
    <mergeCell ref="E56:F56"/>
    <mergeCell ref="G56:I56"/>
    <mergeCell ref="E57:F57"/>
    <mergeCell ref="G57:I57"/>
    <mergeCell ref="E53:F53"/>
    <mergeCell ref="G53:I53"/>
    <mergeCell ref="E54:F54"/>
    <mergeCell ref="G54:I54"/>
    <mergeCell ref="E55:F55"/>
    <mergeCell ref="G55:I55"/>
  </mergeCells>
  <pageMargins left="0.25" right="0.25" top="0.75" bottom="0.75" header="0.3" footer="0.3"/>
  <pageSetup scale="3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28"/>
  <sheetViews>
    <sheetView topLeftCell="A17" zoomScale="70" zoomScaleNormal="70" workbookViewId="0">
      <selection activeCell="E16" sqref="E16"/>
    </sheetView>
  </sheetViews>
  <sheetFormatPr baseColWidth="10" defaultColWidth="10.83203125" defaultRowHeight="15" x14ac:dyDescent="0.2"/>
  <cols>
    <col min="1" max="1" width="19.1640625" bestFit="1" customWidth="1"/>
    <col min="2" max="2" width="21.1640625" bestFit="1" customWidth="1"/>
    <col min="3" max="3" width="23" customWidth="1"/>
    <col min="4" max="4" width="37" bestFit="1" customWidth="1"/>
    <col min="5" max="5" width="39.6640625" bestFit="1" customWidth="1"/>
    <col min="6" max="6" width="30.5" customWidth="1"/>
    <col min="7" max="7" width="26.1640625" bestFit="1" customWidth="1"/>
    <col min="8" max="8" width="13.5" bestFit="1" customWidth="1"/>
  </cols>
  <sheetData>
    <row r="1" spans="1:9" ht="22" thickBot="1" x14ac:dyDescent="0.3">
      <c r="A1" s="408" t="s">
        <v>330</v>
      </c>
      <c r="B1" s="409"/>
      <c r="C1" s="409"/>
      <c r="D1" s="410"/>
    </row>
    <row r="3" spans="1:9" ht="16" thickBot="1" x14ac:dyDescent="0.25">
      <c r="G3" s="278"/>
    </row>
    <row r="4" spans="1:9" ht="15" customHeight="1" x14ac:dyDescent="0.2">
      <c r="A4" s="411" t="s">
        <v>335</v>
      </c>
      <c r="B4" s="412"/>
      <c r="C4" s="412"/>
      <c r="D4" s="412"/>
      <c r="E4" s="412"/>
      <c r="F4" s="412"/>
      <c r="G4" s="413"/>
    </row>
    <row r="5" spans="1:9" ht="15.75" customHeight="1" thickBot="1" x14ac:dyDescent="0.25">
      <c r="A5" s="414"/>
      <c r="B5" s="415"/>
      <c r="C5" s="415"/>
      <c r="D5" s="415"/>
      <c r="E5" s="415"/>
      <c r="F5" s="415"/>
      <c r="G5" s="416"/>
      <c r="H5" s="284"/>
      <c r="I5" s="284"/>
    </row>
    <row r="6" spans="1:9" ht="15.75" customHeight="1" x14ac:dyDescent="0.2">
      <c r="A6" s="306"/>
      <c r="B6" s="306"/>
      <c r="C6" s="306"/>
      <c r="D6" s="306"/>
      <c r="E6" s="306"/>
      <c r="F6" s="306"/>
      <c r="G6" s="306"/>
      <c r="H6" s="284"/>
      <c r="I6" s="284"/>
    </row>
    <row r="7" spans="1:9" ht="16" x14ac:dyDescent="0.2">
      <c r="A7" s="288"/>
      <c r="B7" s="288"/>
      <c r="C7" s="289"/>
      <c r="D7" s="307" t="s">
        <v>4</v>
      </c>
      <c r="E7" s="308">
        <v>3300000000</v>
      </c>
      <c r="G7" s="292"/>
      <c r="H7" s="293"/>
      <c r="I7" s="284"/>
    </row>
    <row r="8" spans="1:9" ht="16" x14ac:dyDescent="0.2">
      <c r="A8" s="288"/>
      <c r="B8" s="288"/>
      <c r="C8" s="289"/>
      <c r="D8" s="290"/>
      <c r="E8" s="291"/>
      <c r="F8" s="291"/>
      <c r="G8" s="292"/>
      <c r="H8" s="293"/>
      <c r="I8" s="284"/>
    </row>
    <row r="9" spans="1:9" ht="16" x14ac:dyDescent="0.2">
      <c r="A9" s="309" t="s">
        <v>310</v>
      </c>
      <c r="B9" s="309" t="s">
        <v>309</v>
      </c>
      <c r="C9" s="309" t="s">
        <v>38</v>
      </c>
      <c r="D9" s="309" t="s">
        <v>311</v>
      </c>
      <c r="E9" s="309" t="s">
        <v>316</v>
      </c>
      <c r="F9" s="309"/>
      <c r="G9" s="309" t="s">
        <v>314</v>
      </c>
      <c r="H9" s="293"/>
      <c r="I9" s="284"/>
    </row>
    <row r="10" spans="1:9" ht="16" x14ac:dyDescent="0.2">
      <c r="A10" s="314">
        <v>1</v>
      </c>
      <c r="B10" s="315">
        <v>0</v>
      </c>
      <c r="C10" s="316">
        <v>2999985597.0999999</v>
      </c>
      <c r="D10" s="316">
        <v>300014403</v>
      </c>
      <c r="E10" s="317">
        <v>0</v>
      </c>
      <c r="F10" s="317"/>
      <c r="G10" s="318">
        <v>0</v>
      </c>
      <c r="H10" s="284"/>
      <c r="I10" s="284"/>
    </row>
    <row r="11" spans="1:9" ht="16" x14ac:dyDescent="0.2">
      <c r="A11" s="314">
        <v>0.9</v>
      </c>
      <c r="B11" s="314">
        <v>-0.1</v>
      </c>
      <c r="C11" s="316">
        <v>3033061351.3699999</v>
      </c>
      <c r="D11" s="316">
        <v>266938649</v>
      </c>
      <c r="E11" s="319">
        <f>C10-C11</f>
        <v>-33075754.269999981</v>
      </c>
      <c r="F11" s="320">
        <f>E11/E7</f>
        <v>-1.0022955839393933E-2</v>
      </c>
      <c r="G11" s="321">
        <f>E11</f>
        <v>-33075754.269999981</v>
      </c>
      <c r="H11" s="284"/>
      <c r="I11" s="284"/>
    </row>
    <row r="12" spans="1:9" ht="16" x14ac:dyDescent="0.2">
      <c r="A12" s="314">
        <v>0.8</v>
      </c>
      <c r="B12" s="314">
        <v>-0.2</v>
      </c>
      <c r="C12" s="316">
        <v>3046884160.8699999</v>
      </c>
      <c r="D12" s="316">
        <v>253115839</v>
      </c>
      <c r="E12" s="319">
        <f>C11-C12</f>
        <v>-13822809.5</v>
      </c>
      <c r="F12" s="320">
        <f>E12/E7</f>
        <v>-4.1887301515151519E-3</v>
      </c>
      <c r="G12" s="321">
        <f>G11+E12</f>
        <v>-46898563.769999981</v>
      </c>
      <c r="H12" s="284"/>
      <c r="I12" s="284"/>
    </row>
    <row r="13" spans="1:9" ht="16" x14ac:dyDescent="0.2">
      <c r="A13" s="314">
        <v>0.7</v>
      </c>
      <c r="B13" s="314">
        <v>0.3</v>
      </c>
      <c r="C13" s="316">
        <v>3061549396.7399998</v>
      </c>
      <c r="D13" s="316">
        <v>238450603</v>
      </c>
      <c r="E13" s="319">
        <f>C12-C13</f>
        <v>-14665235.869999886</v>
      </c>
      <c r="F13" s="320">
        <f>E13/E7</f>
        <v>-4.4440108696969351E-3</v>
      </c>
      <c r="G13" s="321">
        <f>G12+E13</f>
        <v>-61563799.639999866</v>
      </c>
      <c r="H13" s="284"/>
      <c r="I13" s="284"/>
    </row>
    <row r="16" spans="1:9" ht="34" x14ac:dyDescent="0.2">
      <c r="B16" s="309" t="s">
        <v>309</v>
      </c>
      <c r="C16" s="309" t="s">
        <v>317</v>
      </c>
      <c r="D16" s="310" t="s">
        <v>328</v>
      </c>
    </row>
    <row r="17" spans="1:6" x14ac:dyDescent="0.2">
      <c r="B17" s="311">
        <v>0</v>
      </c>
      <c r="C17" s="312">
        <f>'Budget Comparison ($3 vs $3.3B)'!N47</f>
        <v>7921142.9418000001</v>
      </c>
      <c r="D17" s="313">
        <f>'Budget Comparison ($3 vs $3.3B)'!N47</f>
        <v>7921142.9418000001</v>
      </c>
      <c r="E17" s="300"/>
      <c r="F17" s="300"/>
    </row>
    <row r="18" spans="1:6" x14ac:dyDescent="0.2">
      <c r="A18" s="17"/>
      <c r="B18" s="311">
        <v>-0.1</v>
      </c>
      <c r="C18" s="312">
        <f>'Decreased Emissions (-10%)'!N49</f>
        <v>7150059.9305999996</v>
      </c>
      <c r="D18" s="313">
        <f>'Decreased Emissions (-10%)'!N47</f>
        <v>7106000.8480472006</v>
      </c>
      <c r="E18" s="300"/>
      <c r="F18" s="300"/>
    </row>
    <row r="19" spans="1:6" x14ac:dyDescent="0.2">
      <c r="A19" s="297"/>
      <c r="B19" s="311">
        <v>-0.2</v>
      </c>
      <c r="C19" s="312">
        <f>'Decreased Emissions (-20%)'!N49</f>
        <v>6355608.8272000002</v>
      </c>
      <c r="D19" s="313">
        <f>'Decreased Emissions (-20%)'!N47</f>
        <v>6309986.6109016007</v>
      </c>
      <c r="E19" s="300"/>
      <c r="F19" s="300"/>
    </row>
    <row r="20" spans="1:6" x14ac:dyDescent="0.2">
      <c r="A20" s="297"/>
      <c r="B20" s="311">
        <v>-0.3</v>
      </c>
      <c r="C20" s="312">
        <f>'Decreased Emissions (-30%)'!N49</f>
        <v>5561157.7237999998</v>
      </c>
      <c r="D20" s="313">
        <f>'Decreased Emissions (-30%)'!N47</f>
        <v>5520336.3022587998</v>
      </c>
      <c r="E20" s="300"/>
      <c r="F20" s="300"/>
    </row>
    <row r="21" spans="1:6" x14ac:dyDescent="0.2">
      <c r="A21" s="298"/>
      <c r="B21" s="295"/>
    </row>
    <row r="22" spans="1:6" x14ac:dyDescent="0.2">
      <c r="A22" s="298"/>
      <c r="B22" s="295"/>
    </row>
    <row r="23" spans="1:6" x14ac:dyDescent="0.2">
      <c r="B23" s="281"/>
      <c r="C23" s="283"/>
      <c r="D23" s="282"/>
    </row>
    <row r="24" spans="1:6" ht="16" x14ac:dyDescent="0.2">
      <c r="E24" s="285"/>
      <c r="F24" s="285"/>
    </row>
    <row r="25" spans="1:6" ht="16" x14ac:dyDescent="0.2">
      <c r="E25" s="286"/>
      <c r="F25" s="286"/>
    </row>
    <row r="26" spans="1:6" ht="16" x14ac:dyDescent="0.2">
      <c r="E26" s="286"/>
      <c r="F26" s="286"/>
    </row>
    <row r="27" spans="1:6" ht="16" x14ac:dyDescent="0.2">
      <c r="E27" s="286"/>
      <c r="F27" s="286"/>
    </row>
    <row r="28" spans="1:6" ht="16" x14ac:dyDescent="0.2">
      <c r="E28" s="286"/>
      <c r="F28" s="286"/>
    </row>
  </sheetData>
  <mergeCells count="2">
    <mergeCell ref="A1:D1"/>
    <mergeCell ref="A4:G5"/>
  </mergeCells>
  <pageMargins left="0.25" right="0.25" top="0.75" bottom="0.75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22"/>
  <sheetViews>
    <sheetView zoomScale="74" zoomScaleNormal="40" workbookViewId="0">
      <selection activeCell="A4" sqref="A4:G5"/>
    </sheetView>
  </sheetViews>
  <sheetFormatPr baseColWidth="10" defaultColWidth="10.83203125" defaultRowHeight="15" x14ac:dyDescent="0.2"/>
  <cols>
    <col min="1" max="1" width="19.1640625" bestFit="1" customWidth="1"/>
    <col min="2" max="2" width="21.6640625" bestFit="1" customWidth="1"/>
    <col min="3" max="3" width="23" customWidth="1"/>
    <col min="4" max="4" width="30.1640625" bestFit="1" customWidth="1"/>
    <col min="5" max="5" width="58" bestFit="1" customWidth="1"/>
    <col min="6" max="6" width="23" customWidth="1"/>
    <col min="7" max="7" width="17.5" bestFit="1" customWidth="1"/>
    <col min="8" max="8" width="22.5" bestFit="1" customWidth="1"/>
    <col min="9" max="9" width="26.1640625" bestFit="1" customWidth="1"/>
  </cols>
  <sheetData>
    <row r="1" spans="1:10" ht="22" thickBot="1" x14ac:dyDescent="0.3">
      <c r="A1" s="408" t="s">
        <v>318</v>
      </c>
      <c r="B1" s="409"/>
      <c r="C1" s="410"/>
    </row>
    <row r="3" spans="1:10" ht="16" thickBot="1" x14ac:dyDescent="0.25"/>
    <row r="4" spans="1:10" x14ac:dyDescent="0.2">
      <c r="A4" s="411" t="s">
        <v>331</v>
      </c>
      <c r="B4" s="412"/>
      <c r="C4" s="412"/>
      <c r="D4" s="412"/>
      <c r="E4" s="412"/>
      <c r="F4" s="412"/>
      <c r="G4" s="413"/>
      <c r="I4" s="278"/>
    </row>
    <row r="5" spans="1:10" ht="16" thickBot="1" x14ac:dyDescent="0.25">
      <c r="A5" s="414"/>
      <c r="B5" s="415"/>
      <c r="C5" s="415"/>
      <c r="D5" s="415"/>
      <c r="E5" s="415"/>
      <c r="F5" s="415"/>
      <c r="G5" s="416"/>
      <c r="I5" s="278"/>
    </row>
    <row r="6" spans="1:10" ht="16" x14ac:dyDescent="0.2">
      <c r="F6" s="296"/>
      <c r="G6" s="287"/>
      <c r="H6" s="278"/>
      <c r="I6" s="279"/>
      <c r="J6" s="280"/>
    </row>
    <row r="7" spans="1:10" ht="16" x14ac:dyDescent="0.2">
      <c r="C7" s="309" t="s">
        <v>309</v>
      </c>
      <c r="D7" s="309" t="s">
        <v>38</v>
      </c>
      <c r="E7" s="309" t="s">
        <v>324</v>
      </c>
      <c r="G7" s="287"/>
      <c r="H7" s="278"/>
      <c r="I7" s="279"/>
      <c r="J7" s="280"/>
    </row>
    <row r="8" spans="1:10" ht="16" x14ac:dyDescent="0.2">
      <c r="C8" s="322">
        <v>0</v>
      </c>
      <c r="D8" s="323">
        <v>2999985597.0999999</v>
      </c>
      <c r="E8" s="324">
        <v>0</v>
      </c>
      <c r="G8" s="287"/>
      <c r="H8" s="278"/>
      <c r="I8" s="279"/>
      <c r="J8" s="280"/>
    </row>
    <row r="9" spans="1:10" x14ac:dyDescent="0.2">
      <c r="A9" s="284"/>
      <c r="B9" s="284"/>
      <c r="C9" s="325">
        <v>-0.1</v>
      </c>
      <c r="D9" s="323">
        <v>3033061351.3699999</v>
      </c>
      <c r="E9" s="326">
        <f>D8-D9</f>
        <v>-33075754.269999981</v>
      </c>
      <c r="H9" s="299"/>
    </row>
    <row r="10" spans="1:10" x14ac:dyDescent="0.2">
      <c r="C10" s="325">
        <v>-0.2</v>
      </c>
      <c r="D10" s="323">
        <v>3046884160.8699999</v>
      </c>
      <c r="E10" s="326">
        <f>D9-D10</f>
        <v>-13822809.5</v>
      </c>
    </row>
    <row r="11" spans="1:10" x14ac:dyDescent="0.2">
      <c r="C11" s="325">
        <v>-0.3</v>
      </c>
      <c r="D11" s="323">
        <v>3061549396.7399998</v>
      </c>
      <c r="E11" s="326">
        <f>D10-D11</f>
        <v>-14665235.869999886</v>
      </c>
    </row>
    <row r="12" spans="1:10" x14ac:dyDescent="0.2">
      <c r="C12" s="312"/>
      <c r="D12" s="312"/>
      <c r="E12" s="312"/>
      <c r="H12" s="278"/>
    </row>
    <row r="13" spans="1:10" ht="16" x14ac:dyDescent="0.2">
      <c r="E13" s="285"/>
      <c r="F13" s="285"/>
    </row>
    <row r="14" spans="1:10" ht="16" x14ac:dyDescent="0.2">
      <c r="E14" s="286"/>
      <c r="F14" s="286"/>
    </row>
    <row r="15" spans="1:10" ht="16" x14ac:dyDescent="0.2">
      <c r="E15" s="286"/>
      <c r="F15" s="286"/>
    </row>
    <row r="16" spans="1:10" ht="16" x14ac:dyDescent="0.2">
      <c r="E16" s="286"/>
      <c r="F16" s="286"/>
    </row>
    <row r="17" spans="2:7" ht="16" x14ac:dyDescent="0.2">
      <c r="E17" s="286"/>
      <c r="F17" s="286"/>
    </row>
    <row r="21" spans="2:7" x14ac:dyDescent="0.2">
      <c r="B21" s="281"/>
      <c r="C21" s="283"/>
      <c r="D21" s="283"/>
      <c r="E21" s="283"/>
      <c r="F21" s="283"/>
      <c r="G21" s="282"/>
    </row>
    <row r="22" spans="2:7" x14ac:dyDescent="0.2">
      <c r="B22" s="281"/>
      <c r="C22" s="283"/>
      <c r="D22" s="283"/>
      <c r="E22" s="283"/>
      <c r="F22" s="283"/>
      <c r="G22" s="282"/>
    </row>
  </sheetData>
  <mergeCells count="2">
    <mergeCell ref="A1:C1"/>
    <mergeCell ref="A4:G5"/>
  </mergeCells>
  <pageMargins left="0.25" right="0.25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DHL Raw Data</vt:lpstr>
      <vt:lpstr>Original Case Study Model ($3B)</vt:lpstr>
      <vt:lpstr>Linearity Report ($3B)</vt:lpstr>
      <vt:lpstr>Budget Comparison ($3 vs $3.3B)</vt:lpstr>
      <vt:lpstr>Decreased Emissions (-10%)</vt:lpstr>
      <vt:lpstr>Decreased Emissions (-20%)</vt:lpstr>
      <vt:lpstr>Decreased Emissions (-30%)</vt:lpstr>
      <vt:lpstr>GR-Total Carbon Emissions</vt:lpstr>
      <vt:lpstr>GR-Cost Comp per 10% Reduction</vt:lpstr>
      <vt:lpstr>GR-Overall Cost to Reduce Emiss</vt:lpstr>
      <vt:lpstr>GR-Budget Comp, Emission Reduct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 Chandler</dc:creator>
  <cp:lastModifiedBy>Steven Lu</cp:lastModifiedBy>
  <cp:lastPrinted>2018-11-29T01:27:04Z</cp:lastPrinted>
  <dcterms:created xsi:type="dcterms:W3CDTF">2018-11-11T22:34:01Z</dcterms:created>
  <dcterms:modified xsi:type="dcterms:W3CDTF">2020-11-12T02:55:03Z</dcterms:modified>
</cp:coreProperties>
</file>