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s\Real Estate\AoRa Development\Potential Deals\Brooklyn\Prospect Park\354 Clarkson\"/>
    </mc:Choice>
  </mc:AlternateContent>
  <xr:revisionPtr revIDLastSave="0" documentId="13_ncr:1_{89A757AE-DF87-4777-B63E-68BDFCCDCB34}" xr6:coauthVersionLast="47" xr6:coauthVersionMax="47" xr10:uidLastSave="{00000000-0000-0000-0000-000000000000}"/>
  <bookViews>
    <workbookView xWindow="-110" yWindow="-110" windowWidth="38620" windowHeight="21100" tabRatio="635" activeTab="1" xr2:uid="{00000000-000D-0000-FFFF-FFFF00000000}"/>
  </bookViews>
  <sheets>
    <sheet name="Construction Loan" sheetId="7" r:id="rId1"/>
    <sheet name="Perm Loan" sheetId="23" r:id="rId2"/>
    <sheet name="Pro Forma" sheetId="9" r:id="rId3"/>
    <sheet name="Annual Cash Flow" sheetId="19" r:id="rId4"/>
    <sheet name="Reversion" sheetId="22" r:id="rId5"/>
    <sheet name="Analysis" sheetId="17" r:id="rId6"/>
    <sheet name="Cashflow Breakdown" sheetId="12" r:id="rId7"/>
    <sheet name="Soft Costs" sheetId="10" r:id="rId8"/>
    <sheet name="Specialty Costs RES" sheetId="13" r:id="rId9"/>
    <sheet name="Startup Cost" sheetId="16" r:id="rId10"/>
    <sheet name="Operational Expenses" sheetId="15" r:id="rId11"/>
    <sheet name="Project Summary" sheetId="8" r:id="rId12"/>
  </sheets>
  <definedNames>
    <definedName name="\p" localSheetId="5">#REF!</definedName>
    <definedName name="\p" localSheetId="3">#REF!</definedName>
    <definedName name="\p" localSheetId="6">#REF!</definedName>
    <definedName name="\p" localSheetId="4">#REF!</definedName>
    <definedName name="\p">#REF!</definedName>
    <definedName name="_ADR1" localSheetId="5">#REF!</definedName>
    <definedName name="_ADR1" localSheetId="3">#REF!</definedName>
    <definedName name="_ADR1" localSheetId="6">#REF!</definedName>
    <definedName name="_ADR1" localSheetId="4">#REF!</definedName>
    <definedName name="_ADR1">#REF!</definedName>
    <definedName name="_Fill" localSheetId="5" hidden="1">#REF!</definedName>
    <definedName name="_Fill" localSheetId="3" hidden="1">#REF!</definedName>
    <definedName name="_Fill" localSheetId="6" hidden="1">#REF!</definedName>
    <definedName name="_Fill" localSheetId="4" hidden="1">#REF!</definedName>
    <definedName name="_Fill" hidden="1">#REF!</definedName>
    <definedName name="_INC4">#REF!</definedName>
    <definedName name="_INC5">#REF!</definedName>
    <definedName name="_NI1">#REF!</definedName>
    <definedName name="_NI2">#REF!</definedName>
    <definedName name="_OCC1">#REF!</definedName>
    <definedName name="_Table2_In1" hidden="1">#REF!</definedName>
    <definedName name="_Table2_In2" hidden="1">#REF!</definedName>
    <definedName name="_YR1">#REF!</definedName>
    <definedName name="ADRAFTER">#REF!</definedName>
    <definedName name="ADRB4">#REF!</definedName>
    <definedName name="ADRINC">#REF!</definedName>
    <definedName name="BEGADR">#REF!</definedName>
    <definedName name="BEGOCC">#REF!</definedName>
    <definedName name="CHOICE">#REF!</definedName>
    <definedName name="ENDADR">#REF!</definedName>
    <definedName name="ENDOCC">#REF!</definedName>
    <definedName name="FB">#REF!</definedName>
    <definedName name="FIX">#REF!</definedName>
    <definedName name="FOOD1">#REF!</definedName>
    <definedName name="FOOD2">#REF!</definedName>
    <definedName name="HCS">#REF!</definedName>
    <definedName name="INC">#REF!</definedName>
    <definedName name="LOOK1">#REF!</definedName>
    <definedName name="LOOK2">#REF!</definedName>
    <definedName name="LOOK3">#REF!</definedName>
    <definedName name="OCCAFTER">#REF!</definedName>
    <definedName name="OCCB4">#REF!</definedName>
    <definedName name="OCCINC">#REF!</definedName>
    <definedName name="_xlnm.Print_Area" localSheetId="5">Analysis!$B$1:$K$39</definedName>
    <definedName name="_xlnm.Print_Area" localSheetId="3">'Annual Cash Flow'!$B$1:$H$41</definedName>
    <definedName name="_xlnm.Print_Area" localSheetId="0">'Construction Loan'!$C$2:$K$43</definedName>
    <definedName name="_xlnm.Print_Area" localSheetId="1">'Perm Loan'!$C$2:$K$43</definedName>
    <definedName name="_xlnm.Print_Area" localSheetId="2">'Pro Forma'!$B$1:$L$76</definedName>
    <definedName name="_xlnm.Print_Area" localSheetId="4">Reversion!$B$1:$H$25</definedName>
    <definedName name="SPSCH" localSheetId="5">#REF!</definedName>
    <definedName name="SPSCH" localSheetId="3">#REF!</definedName>
    <definedName name="SPSCH" localSheetId="6">#REF!</definedName>
    <definedName name="SPSCH" localSheetId="4">#REF!</definedName>
    <definedName name="SPSCH">#REF!</definedName>
    <definedName name="SPSCH4" localSheetId="5">#REF!</definedName>
    <definedName name="SPSCH4" localSheetId="3">#REF!</definedName>
    <definedName name="SPSCH4" localSheetId="6">#REF!</definedName>
    <definedName name="SPSCH4" localSheetId="4">#REF!</definedName>
    <definedName name="SPSCH4">#REF!</definedName>
    <definedName name="SPSCH5" localSheetId="5">#REF!</definedName>
    <definedName name="SPSCH5" localSheetId="3">#REF!</definedName>
    <definedName name="SPSCH5" localSheetId="6">#REF!</definedName>
    <definedName name="SPSCH5" localSheetId="4">#REF!</definedName>
    <definedName name="SPSCH5">#REF!</definedName>
    <definedName name="STABADR">#REF!</definedName>
    <definedName name="STABOCC">#REF!</definedName>
    <definedName name="STABYEAR">#REF!</definedName>
    <definedName name="SUPPORT">#REF!</definedName>
    <definedName name="TABLE1">#REF!</definedName>
    <definedName name="TABLE2">#REF!</definedName>
    <definedName name="wrn.Both._.Outputs." localSheetId="5" hidden="1">{"LTV Output",#N/A,FALSE,"Output";"DCR Output",#N/A,FALSE,"Output"}</definedName>
    <definedName name="wrn.Both._.Outputs." localSheetId="3" hidden="1">{"LTV Output",#N/A,FALSE,"Output";"DCR Output",#N/A,FALSE,"Output"}</definedName>
    <definedName name="wrn.Both._.Outputs." localSheetId="6" hidden="1">{"LTV Output",#N/A,FALSE,"Output";"DCR Output",#N/A,FALSE,"Output"}</definedName>
    <definedName name="wrn.Both._.Outputs." localSheetId="4" hidden="1">{"LTV Output",#N/A,FALSE,"Output";"DCR Output",#N/A,FALSE,"Output"}</definedName>
    <definedName name="wrn.Both._.Outputs." hidden="1">{"LTV Output",#N/A,FALSE,"Output";"DCR Output",#N/A,FALSE,"Output"}</definedName>
    <definedName name="wrn.DCR._.Output." localSheetId="5" hidden="1">{"DCR Output",#N/A,FALSE,"Output"}</definedName>
    <definedName name="wrn.DCR._.Output." localSheetId="3" hidden="1">{"DCR Output",#N/A,FALSE,"Output"}</definedName>
    <definedName name="wrn.DCR._.Output." localSheetId="6" hidden="1">{"DCR Output",#N/A,FALSE,"Output"}</definedName>
    <definedName name="wrn.DCR._.Output." localSheetId="4" hidden="1">{"DCR Output",#N/A,FALSE,"Output"}</definedName>
    <definedName name="wrn.DCR._.Output." hidden="1">{"DCR Output",#N/A,FALSE,"Output"}</definedName>
    <definedName name="wrn.Inputs." localSheetId="5" hidden="1">{"Inflation-BaseYear",#N/A,FALSE,"Inputs"}</definedName>
    <definedName name="wrn.Inputs." localSheetId="3" hidden="1">{"Inflation-BaseYear",#N/A,FALSE,"Inputs"}</definedName>
    <definedName name="wrn.Inputs." localSheetId="6" hidden="1">{"Inflation-BaseYear",#N/A,FALSE,"Inputs"}</definedName>
    <definedName name="wrn.Inputs." localSheetId="4" hidden="1">{"Inflation-BaseYear",#N/A,FALSE,"Inputs"}</definedName>
    <definedName name="wrn.Inputs." hidden="1">{"Inflation-BaseYear",#N/A,FALSE,"Inputs"}</definedName>
    <definedName name="wrn.LTV._.Output." localSheetId="5" hidden="1">{"LTV Output",#N/A,FALSE,"Output"}</definedName>
    <definedName name="wrn.LTV._.Output." localSheetId="3" hidden="1">{"LTV Output",#N/A,FALSE,"Output"}</definedName>
    <definedName name="wrn.LTV._.Output." localSheetId="6" hidden="1">{"LTV Output",#N/A,FALSE,"Output"}</definedName>
    <definedName name="wrn.LTV._.Output." localSheetId="4" hidden="1">{"LTV Output",#N/A,FALSE,"Output"}</definedName>
    <definedName name="wrn.LTV._.Output." hidden="1">{"LTV Output",#N/A,FALSE,"Output"}</definedName>
    <definedName name="wrn.Output3Column." localSheetId="5" hidden="1">{"Output-3Column",#N/A,FALSE,"Output"}</definedName>
    <definedName name="wrn.Output3Column." localSheetId="3" hidden="1">{"Output-3Column",#N/A,FALSE,"Output"}</definedName>
    <definedName name="wrn.Output3Column." localSheetId="6" hidden="1">{"Output-3Column",#N/A,FALSE,"Output"}</definedName>
    <definedName name="wrn.Output3Column." localSheetId="4" hidden="1">{"Output-3Column",#N/A,FALSE,"Output"}</definedName>
    <definedName name="wrn.Output3Column." hidden="1">{"Output-3Column",#N/A,FALSE,"Output"}</definedName>
    <definedName name="wrn.OutputAll." localSheetId="5" hidden="1">{"Output-All",#N/A,FALSE,"Output"}</definedName>
    <definedName name="wrn.OutputAll." localSheetId="3" hidden="1">{"Output-All",#N/A,FALSE,"Output"}</definedName>
    <definedName name="wrn.OutputAll." localSheetId="6" hidden="1">{"Output-All",#N/A,FALSE,"Output"}</definedName>
    <definedName name="wrn.OutputAll." localSheetId="4" hidden="1">{"Output-All",#N/A,FALSE,"Output"}</definedName>
    <definedName name="wrn.OutputAll." hidden="1">{"Output-All",#N/A,FALSE,"Output"}</definedName>
    <definedName name="wrn.OutputBaseYear." localSheetId="5" hidden="1">{"Output-BaseYear",#N/A,FALSE,"Output"}</definedName>
    <definedName name="wrn.OutputBaseYear." localSheetId="3" hidden="1">{"Output-BaseYear",#N/A,FALSE,"Output"}</definedName>
    <definedName name="wrn.OutputBaseYear." localSheetId="6" hidden="1">{"Output-BaseYear",#N/A,FALSE,"Output"}</definedName>
    <definedName name="wrn.OutputBaseYear." localSheetId="4" hidden="1">{"Output-BaseYear",#N/A,FALSE,"Output"}</definedName>
    <definedName name="wrn.OutputBaseYear." hidden="1">{"Output-BaseYear",#N/A,FALSE,"Output"}</definedName>
    <definedName name="wrn.OutputMin." localSheetId="5" hidden="1">{"Output-Min",#N/A,FALSE,"Output"}</definedName>
    <definedName name="wrn.OutputMin." localSheetId="3" hidden="1">{"Output-Min",#N/A,FALSE,"Output"}</definedName>
    <definedName name="wrn.OutputMin." localSheetId="6" hidden="1">{"Output-Min",#N/A,FALSE,"Output"}</definedName>
    <definedName name="wrn.OutputMin." localSheetId="4" hidden="1">{"Output-Min",#N/A,FALSE,"Output"}</definedName>
    <definedName name="wrn.OutputMin." hidden="1">{"Output-Min",#N/A,FALSE,"Output"}</definedName>
    <definedName name="wrn.OutputPercent." localSheetId="5" hidden="1">{"Output%",#N/A,FALSE,"Output"}</definedName>
    <definedName name="wrn.OutputPercent." localSheetId="3" hidden="1">{"Output%",#N/A,FALSE,"Output"}</definedName>
    <definedName name="wrn.OutputPercent." localSheetId="6" hidden="1">{"Output%",#N/A,FALSE,"Output"}</definedName>
    <definedName name="wrn.OutputPercent." localSheetId="4" hidden="1">{"Output%",#N/A,FALSE,"Output"}</definedName>
    <definedName name="wrn.OutputPercent." hidden="1">{"Output%",#N/A,FALSE,"Output"}</definedName>
    <definedName name="YR2TO5">#REF!</definedName>
    <definedName name="YR6TO9">#REF!</definedName>
  </definedNames>
  <calcPr calcId="191029" iterate="1" iterateCount="1000" iterateDelta="1.0000000000000001E-5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9" l="1"/>
  <c r="C39" i="9"/>
  <c r="I38" i="7" l="1"/>
  <c r="I38" i="23" l="1"/>
  <c r="H17" i="23"/>
  <c r="J22" i="23" s="1"/>
  <c r="J24" i="23" s="1"/>
  <c r="J27" i="23" s="1"/>
  <c r="J16" i="23"/>
  <c r="J15" i="23"/>
  <c r="J14" i="23"/>
  <c r="J13" i="23"/>
  <c r="J12" i="23"/>
  <c r="J11" i="23"/>
  <c r="J10" i="23"/>
  <c r="J9" i="23"/>
  <c r="J8" i="23"/>
  <c r="D23" i="23" l="1"/>
  <c r="F23" i="23" s="1"/>
  <c r="D22" i="23"/>
  <c r="D24" i="23"/>
  <c r="F24" i="23" s="1"/>
  <c r="J17" i="23"/>
  <c r="F22" i="23"/>
  <c r="F26" i="23" s="1"/>
  <c r="D26" i="23"/>
  <c r="H21" i="23"/>
  <c r="G79" i="12"/>
  <c r="D23" i="12"/>
  <c r="F125" i="12" s="1"/>
  <c r="G125" i="12" s="1"/>
  <c r="A23" i="12"/>
  <c r="F124" i="12"/>
  <c r="A19" i="12"/>
  <c r="E124" i="12"/>
  <c r="A124" i="12"/>
  <c r="D22" i="12"/>
  <c r="F116" i="12" s="1"/>
  <c r="G109" i="12"/>
  <c r="G108" i="12"/>
  <c r="E125" i="12"/>
  <c r="E123" i="12"/>
  <c r="E121" i="12"/>
  <c r="F121" i="12" s="1"/>
  <c r="G121" i="12" s="1"/>
  <c r="E120" i="12"/>
  <c r="E119" i="12"/>
  <c r="E118" i="12"/>
  <c r="E117" i="12"/>
  <c r="E116" i="12"/>
  <c r="E115" i="12"/>
  <c r="E114" i="12"/>
  <c r="E113" i="12"/>
  <c r="E112" i="12"/>
  <c r="E111" i="12"/>
  <c r="E109" i="12"/>
  <c r="E108" i="12"/>
  <c r="E107" i="12"/>
  <c r="E105" i="12"/>
  <c r="F28" i="23" l="1"/>
  <c r="F29" i="23" s="1"/>
  <c r="G124" i="12"/>
  <c r="G116" i="12"/>
  <c r="D39" i="9" l="1"/>
  <c r="D20" i="10" l="1"/>
  <c r="E122" i="12" s="1"/>
  <c r="D86" i="9"/>
  <c r="E44" i="9"/>
  <c r="F44" i="9" s="1"/>
  <c r="G44" i="9" s="1"/>
  <c r="H44" i="9" s="1"/>
  <c r="I36" i="9"/>
  <c r="K22" i="9"/>
  <c r="K20" i="9"/>
  <c r="G19" i="9"/>
  <c r="F19" i="9"/>
  <c r="I19" i="9"/>
  <c r="H19" i="9"/>
  <c r="G85" i="12" l="1"/>
  <c r="D84" i="12"/>
  <c r="H17" i="7" l="1"/>
  <c r="I38" i="9" l="1"/>
  <c r="D22" i="9"/>
  <c r="J22" i="9" s="1"/>
  <c r="B2" i="22"/>
  <c r="B2" i="19"/>
  <c r="H18" i="22"/>
  <c r="H14" i="22"/>
  <c r="D8" i="22"/>
  <c r="F7" i="22"/>
  <c r="C40" i="19"/>
  <c r="D40" i="19" s="1"/>
  <c r="E40" i="19" s="1"/>
  <c r="F40" i="19" s="1"/>
  <c r="G40" i="19" s="1"/>
  <c r="I37" i="9" l="1"/>
  <c r="I34" i="9"/>
  <c r="I35" i="9"/>
  <c r="D75" i="12" l="1"/>
  <c r="G52" i="12"/>
  <c r="G48" i="12"/>
  <c r="G43" i="12"/>
  <c r="B5" i="8" l="1"/>
  <c r="J16" i="7" l="1"/>
  <c r="J8" i="7"/>
  <c r="J9" i="7"/>
  <c r="J10" i="7"/>
  <c r="J11" i="7"/>
  <c r="J12" i="7"/>
  <c r="J13" i="7"/>
  <c r="J14" i="7"/>
  <c r="J15" i="7"/>
  <c r="D23" i="7" s="1"/>
  <c r="H21" i="7"/>
  <c r="D8" i="12"/>
  <c r="D21" i="12"/>
  <c r="F122" i="12" s="1"/>
  <c r="G122" i="12" s="1"/>
  <c r="L106" i="12"/>
  <c r="L111" i="12" s="1"/>
  <c r="G87" i="12"/>
  <c r="D14" i="12"/>
  <c r="D13" i="12"/>
  <c r="D20" i="12"/>
  <c r="G20" i="12" s="1"/>
  <c r="D11" i="12"/>
  <c r="F114" i="12" s="1"/>
  <c r="G114" i="12" s="1"/>
  <c r="D59" i="12"/>
  <c r="G59" i="12" s="1"/>
  <c r="D58" i="12"/>
  <c r="G58" i="12" s="1"/>
  <c r="G94" i="12"/>
  <c r="D10" i="12"/>
  <c r="F111" i="12" s="1"/>
  <c r="G111" i="12" s="1"/>
  <c r="D9" i="12"/>
  <c r="D62" i="12"/>
  <c r="G62" i="12" s="1"/>
  <c r="D12" i="12"/>
  <c r="F105" i="12" s="1"/>
  <c r="G54" i="12"/>
  <c r="D54" i="12" s="1"/>
  <c r="D60" i="12"/>
  <c r="G60" i="12" s="1"/>
  <c r="G61" i="12"/>
  <c r="B12" i="16" s="1"/>
  <c r="D64" i="12"/>
  <c r="G64" i="12" s="1"/>
  <c r="G91" i="12" s="1"/>
  <c r="F120" i="12" s="1"/>
  <c r="D31" i="12"/>
  <c r="G38" i="12" s="1"/>
  <c r="D33" i="12"/>
  <c r="D44" i="12" s="1"/>
  <c r="D39" i="12"/>
  <c r="G39" i="12" s="1"/>
  <c r="D9" i="13"/>
  <c r="D78" i="12"/>
  <c r="D77" i="12"/>
  <c r="D76" i="12"/>
  <c r="E24" i="12"/>
  <c r="E15" i="12"/>
  <c r="K21" i="9"/>
  <c r="K23" i="9"/>
  <c r="D24" i="9"/>
  <c r="D25" i="9" s="1"/>
  <c r="D87" i="12" l="1"/>
  <c r="F119" i="12"/>
  <c r="G105" i="12"/>
  <c r="G119" i="12"/>
  <c r="F118" i="12"/>
  <c r="G118" i="12" s="1"/>
  <c r="F117" i="12"/>
  <c r="G117" i="12" s="1"/>
  <c r="K24" i="9"/>
  <c r="D24" i="7"/>
  <c r="D22" i="7"/>
  <c r="J17" i="7"/>
  <c r="B9" i="16"/>
  <c r="G82" i="12"/>
  <c r="B4" i="8"/>
  <c r="G93" i="12"/>
  <c r="F107" i="12" s="1"/>
  <c r="G107" i="12" s="1"/>
  <c r="B10" i="16"/>
  <c r="F113" i="12"/>
  <c r="G113" i="12" s="1"/>
  <c r="G31" i="12"/>
  <c r="F112" i="12"/>
  <c r="G112" i="12" s="1"/>
  <c r="D53" i="12"/>
  <c r="G53" i="12" s="1"/>
  <c r="G44" i="12"/>
  <c r="G86" i="12"/>
  <c r="D86" i="12" s="1"/>
  <c r="G33" i="12"/>
  <c r="B11" i="16"/>
  <c r="D63" i="12"/>
  <c r="G63" i="12" s="1"/>
  <c r="G120" i="12"/>
  <c r="J22" i="7"/>
  <c r="B2" i="8"/>
  <c r="F115" i="12"/>
  <c r="G115" i="12" s="1"/>
  <c r="D24" i="12"/>
  <c r="D79" i="12"/>
  <c r="D26" i="7" l="1"/>
  <c r="D82" i="12"/>
  <c r="M105" i="12"/>
  <c r="H23" i="9"/>
  <c r="I23" i="9"/>
  <c r="G23" i="9"/>
  <c r="G24" i="9" s="1"/>
  <c r="F35" i="9" s="1"/>
  <c r="F23" i="9"/>
  <c r="E20" i="9"/>
  <c r="F22" i="7"/>
  <c r="D14" i="19" s="1"/>
  <c r="E14" i="19" s="1"/>
  <c r="F14" i="19" s="1"/>
  <c r="G14" i="19" s="1"/>
  <c r="H14" i="19" s="1"/>
  <c r="C21" i="9"/>
  <c r="F23" i="7"/>
  <c r="G65" i="12"/>
  <c r="B14" i="16" s="1"/>
  <c r="J24" i="7"/>
  <c r="G83" i="12"/>
  <c r="G88" i="12" s="1"/>
  <c r="D65" i="12"/>
  <c r="B13" i="16"/>
  <c r="G96" i="12"/>
  <c r="B3" i="8"/>
  <c r="B6" i="8" s="1"/>
  <c r="D83" i="12" l="1"/>
  <c r="M106" i="12"/>
  <c r="E106" i="12"/>
  <c r="J27" i="7"/>
  <c r="D88" i="12"/>
  <c r="F123" i="12"/>
  <c r="G123" i="12" s="1"/>
  <c r="B10" i="9"/>
  <c r="I24" i="9"/>
  <c r="J21" i="9"/>
  <c r="C25" i="9" s="1"/>
  <c r="F24" i="9"/>
  <c r="J23" i="9"/>
  <c r="G25" i="9" s="1"/>
  <c r="E24" i="9"/>
  <c r="J20" i="9"/>
  <c r="C24" i="9"/>
  <c r="D32" i="9"/>
  <c r="I32" i="9" s="1"/>
  <c r="B16" i="16"/>
  <c r="N106" i="12"/>
  <c r="N105" i="12"/>
  <c r="K7" i="12"/>
  <c r="H24" i="9"/>
  <c r="F37" i="9" l="1"/>
  <c r="B12" i="9" s="1"/>
  <c r="D30" i="12"/>
  <c r="G30" i="12" s="1"/>
  <c r="D47" i="12"/>
  <c r="G47" i="12" s="1"/>
  <c r="D42" i="12"/>
  <c r="G42" i="12" s="1"/>
  <c r="F25" i="9"/>
  <c r="F34" i="9"/>
  <c r="B9" i="9" s="1"/>
  <c r="I25" i="9"/>
  <c r="H25" i="9"/>
  <c r="E25" i="9"/>
  <c r="J24" i="9"/>
  <c r="D33" i="9"/>
  <c r="I33" i="9" s="1"/>
  <c r="I39" i="9" s="1"/>
  <c r="F36" i="9"/>
  <c r="B11" i="9" s="1"/>
  <c r="F24" i="7"/>
  <c r="M111" i="12"/>
  <c r="N111" i="12" s="1"/>
  <c r="D8" i="10"/>
  <c r="D7" i="12"/>
  <c r="D15" i="12" s="1"/>
  <c r="H25" i="12" s="1"/>
  <c r="D34" i="12"/>
  <c r="G34" i="12" s="1"/>
  <c r="K25" i="9" l="1"/>
  <c r="D37" i="12"/>
  <c r="G37" i="12" s="1"/>
  <c r="E110" i="12"/>
  <c r="E126" i="12" s="1"/>
  <c r="D23" i="10"/>
  <c r="J26" i="23" s="1"/>
  <c r="J25" i="23" s="1"/>
  <c r="J28" i="23" s="1"/>
  <c r="F26" i="7"/>
  <c r="C12" i="19" s="1"/>
  <c r="D51" i="12"/>
  <c r="G51" i="12" s="1"/>
  <c r="G92" i="12" s="1"/>
  <c r="G72" i="12"/>
  <c r="D72" i="12" s="1"/>
  <c r="G95" i="12"/>
  <c r="J26" i="7" l="1"/>
  <c r="J25" i="7" s="1"/>
  <c r="F106" i="12"/>
  <c r="C13" i="19"/>
  <c r="C5" i="19" s="1"/>
  <c r="D12" i="19"/>
  <c r="B3" i="15"/>
  <c r="B11" i="15" s="1"/>
  <c r="F28" i="7"/>
  <c r="F29" i="7" s="1"/>
  <c r="G97" i="12"/>
  <c r="H99" i="12" s="1"/>
  <c r="G55" i="12"/>
  <c r="H67" i="12" s="1"/>
  <c r="F110" i="12"/>
  <c r="G110" i="12" s="1"/>
  <c r="J29" i="23" l="1"/>
  <c r="I100" i="12"/>
  <c r="G106" i="12"/>
  <c r="F126" i="12"/>
  <c r="G126" i="12" s="1"/>
  <c r="B12" i="15"/>
  <c r="B4" i="15"/>
  <c r="E12" i="19"/>
  <c r="D13" i="19"/>
  <c r="C15" i="19"/>
  <c r="C20" i="19" s="1"/>
  <c r="C33" i="19" s="1"/>
  <c r="C36" i="19" s="1"/>
  <c r="B19" i="15" l="1"/>
  <c r="F35" i="23" s="1"/>
  <c r="F42" i="23" s="1"/>
  <c r="D15" i="19"/>
  <c r="D20" i="19" s="1"/>
  <c r="D33" i="19" s="1"/>
  <c r="D5" i="19"/>
  <c r="E13" i="19"/>
  <c r="F12" i="19"/>
  <c r="I35" i="23" l="1"/>
  <c r="I39" i="23" s="1"/>
  <c r="K40" i="23" s="1"/>
  <c r="B20" i="15"/>
  <c r="F35" i="7"/>
  <c r="D36" i="19"/>
  <c r="G12" i="19"/>
  <c r="F13" i="19"/>
  <c r="F5" i="19" s="1"/>
  <c r="E5" i="19"/>
  <c r="E15" i="19"/>
  <c r="E20" i="19" s="1"/>
  <c r="E33" i="19" s="1"/>
  <c r="E36" i="19" s="1"/>
  <c r="K37" i="23" l="1"/>
  <c r="K42" i="23" s="1"/>
  <c r="F39" i="23" s="1"/>
  <c r="F40" i="23"/>
  <c r="D16" i="9"/>
  <c r="G9" i="9"/>
  <c r="J34" i="9" s="1"/>
  <c r="F15" i="19"/>
  <c r="F20" i="19" s="1"/>
  <c r="F33" i="19" s="1"/>
  <c r="F36" i="19" s="1"/>
  <c r="F42" i="7"/>
  <c r="B13" i="8" s="1"/>
  <c r="C17" i="19"/>
  <c r="D17" i="19" s="1"/>
  <c r="H12" i="19"/>
  <c r="H13" i="19" s="1"/>
  <c r="H5" i="19" s="1"/>
  <c r="G13" i="19"/>
  <c r="G5" i="19" s="1"/>
  <c r="G7" i="9" l="1"/>
  <c r="J33" i="9" s="1"/>
  <c r="G6" i="9"/>
  <c r="J32" i="9" s="1"/>
  <c r="G8" i="9"/>
  <c r="C18" i="19"/>
  <c r="C6" i="19"/>
  <c r="G15" i="19"/>
  <c r="G20" i="19" s="1"/>
  <c r="G33" i="19" s="1"/>
  <c r="D21" i="22" s="1"/>
  <c r="H15" i="19"/>
  <c r="G11" i="9"/>
  <c r="J36" i="9" s="1"/>
  <c r="G10" i="9"/>
  <c r="J35" i="9" s="1"/>
  <c r="C22" i="19"/>
  <c r="C7" i="19"/>
  <c r="E17" i="19"/>
  <c r="D18" i="19"/>
  <c r="D6" i="19"/>
  <c r="G36" i="19" l="1"/>
  <c r="D22" i="22" s="1"/>
  <c r="D22" i="19"/>
  <c r="D7" i="19"/>
  <c r="F17" i="19"/>
  <c r="E6" i="19"/>
  <c r="E18" i="19"/>
  <c r="C32" i="19"/>
  <c r="G7" i="17"/>
  <c r="G9" i="17" s="1"/>
  <c r="F18" i="19" l="1"/>
  <c r="G17" i="19"/>
  <c r="H17" i="19" s="1"/>
  <c r="F6" i="19"/>
  <c r="D32" i="19"/>
  <c r="H7" i="17"/>
  <c r="H9" i="17" s="1"/>
  <c r="E22" i="19"/>
  <c r="E7" i="19"/>
  <c r="I7" i="17" l="1"/>
  <c r="I9" i="17" s="1"/>
  <c r="E32" i="19"/>
  <c r="G6" i="19"/>
  <c r="G18" i="19"/>
  <c r="F7" i="19"/>
  <c r="F22" i="19"/>
  <c r="F32" i="19" l="1"/>
  <c r="J7" i="17"/>
  <c r="J9" i="17" s="1"/>
  <c r="G22" i="19"/>
  <c r="G7" i="19"/>
  <c r="H18" i="19"/>
  <c r="H6" i="19"/>
  <c r="G32" i="19" l="1"/>
  <c r="K7" i="17"/>
  <c r="D7" i="22"/>
  <c r="D9" i="22" s="1"/>
  <c r="K8" i="17"/>
  <c r="H7" i="19"/>
  <c r="D10" i="22" l="1"/>
  <c r="K17" i="17" s="1"/>
  <c r="K9" i="17"/>
  <c r="D11" i="22" l="1"/>
  <c r="D14" i="22" s="1"/>
  <c r="H7" i="22" s="1"/>
  <c r="B11" i="8"/>
  <c r="G12" i="9" l="1"/>
  <c r="J37" i="9" s="1"/>
  <c r="J28" i="7" l="1"/>
  <c r="D15" i="9" s="1"/>
  <c r="D14" i="9"/>
  <c r="J29" i="7" l="1"/>
  <c r="K26" i="9"/>
  <c r="K27" i="9" s="1"/>
  <c r="C35" i="19" l="1"/>
  <c r="D35" i="19" s="1"/>
  <c r="E35" i="19" s="1"/>
  <c r="F35" i="19" s="1"/>
  <c r="G35" i="19" s="1"/>
  <c r="I35" i="7"/>
  <c r="K37" i="7" s="1"/>
  <c r="B8" i="8"/>
  <c r="I39" i="7"/>
  <c r="F15" i="17" s="1"/>
  <c r="D19" i="22"/>
  <c r="F6" i="17"/>
  <c r="F9" i="17" s="1"/>
  <c r="E11" i="17" s="1"/>
  <c r="J28" i="9"/>
  <c r="J48" i="9"/>
  <c r="K28" i="9"/>
  <c r="D20" i="22"/>
  <c r="H10" i="22" s="1"/>
  <c r="H13" i="22" s="1"/>
  <c r="H15" i="22" s="1"/>
  <c r="E12" i="17" l="1"/>
  <c r="B15" i="8" s="1"/>
  <c r="B9" i="8"/>
  <c r="B14" i="8" s="1"/>
  <c r="J10" i="17"/>
  <c r="I10" i="17"/>
  <c r="B10" i="8"/>
  <c r="K40" i="7"/>
  <c r="K42" i="7" s="1"/>
  <c r="F39" i="7" s="1"/>
  <c r="G10" i="17"/>
  <c r="K10" i="17"/>
  <c r="H10" i="17"/>
  <c r="F25" i="17"/>
  <c r="F28" i="17" s="1"/>
  <c r="F19" i="17"/>
  <c r="B12" i="8"/>
  <c r="D23" i="22"/>
  <c r="H8" i="22" s="1"/>
  <c r="H9" i="22" s="1"/>
  <c r="H11" i="22" s="1"/>
  <c r="H17" i="22" s="1"/>
  <c r="H19" i="22" s="1"/>
  <c r="H20" i="22" s="1"/>
  <c r="H24" i="22" s="1"/>
  <c r="F40" i="7"/>
  <c r="B16" i="8" s="1"/>
  <c r="C54" i="9"/>
  <c r="F34" i="17" s="1"/>
  <c r="F37" i="17" s="1"/>
  <c r="D52" i="9"/>
  <c r="J49" i="9" l="1"/>
  <c r="G24" i="19"/>
  <c r="E24" i="19"/>
  <c r="C24" i="19"/>
  <c r="D24" i="19"/>
  <c r="J51" i="9"/>
  <c r="J53" i="9"/>
  <c r="J50" i="9"/>
  <c r="J52" i="9"/>
  <c r="F24" i="19"/>
  <c r="G35" i="17"/>
  <c r="C37" i="19"/>
  <c r="D37" i="19" s="1"/>
  <c r="E37" i="19" s="1"/>
  <c r="F37" i="19" s="1"/>
  <c r="I53" i="9" l="1"/>
  <c r="H53" i="9" s="1"/>
  <c r="G34" i="19" s="1"/>
  <c r="G37" i="19"/>
  <c r="I50" i="9"/>
  <c r="H50" i="9" s="1"/>
  <c r="D34" i="19" s="1"/>
  <c r="D38" i="19" s="1"/>
  <c r="D41" i="19" s="1"/>
  <c r="D27" i="19" s="1"/>
  <c r="I49" i="9"/>
  <c r="H49" i="9" s="1"/>
  <c r="C34" i="19" s="1"/>
  <c r="C38" i="19" s="1"/>
  <c r="C41" i="19" s="1"/>
  <c r="C27" i="19" s="1"/>
  <c r="I51" i="9"/>
  <c r="H51" i="9" s="1"/>
  <c r="E34" i="19" s="1"/>
  <c r="E38" i="19" s="1"/>
  <c r="E41" i="19" s="1"/>
  <c r="E27" i="19" s="1"/>
  <c r="D8" i="19"/>
  <c r="D25" i="19"/>
  <c r="E8" i="19"/>
  <c r="E25" i="19"/>
  <c r="I52" i="9"/>
  <c r="H52" i="9" s="1"/>
  <c r="F34" i="19" s="1"/>
  <c r="F38" i="19" s="1"/>
  <c r="F41" i="19" s="1"/>
  <c r="F27" i="19" s="1"/>
  <c r="F8" i="19"/>
  <c r="F25" i="19"/>
  <c r="K36" i="17"/>
  <c r="D15" i="22"/>
  <c r="D16" i="22" s="1"/>
  <c r="C8" i="19"/>
  <c r="C25" i="19"/>
  <c r="H35" i="17"/>
  <c r="G38" i="17"/>
  <c r="G37" i="17"/>
  <c r="G16" i="17"/>
  <c r="G8" i="19"/>
  <c r="G25" i="19"/>
  <c r="G38" i="19" l="1"/>
  <c r="G41" i="19" s="1"/>
  <c r="G27" i="19" s="1"/>
  <c r="G28" i="19" s="1"/>
  <c r="K26" i="17" s="1"/>
  <c r="K29" i="17" s="1"/>
  <c r="E28" i="19"/>
  <c r="I26" i="17" s="1"/>
  <c r="I29" i="17" s="1"/>
  <c r="C28" i="19"/>
  <c r="G26" i="17" s="1"/>
  <c r="G28" i="17" s="1"/>
  <c r="G19" i="17"/>
  <c r="G20" i="17"/>
  <c r="D28" i="19"/>
  <c r="H26" i="17" s="1"/>
  <c r="F28" i="19"/>
  <c r="J26" i="17" s="1"/>
  <c r="K18" i="17"/>
  <c r="H23" i="22"/>
  <c r="H25" i="22" s="1"/>
  <c r="K27" i="17" s="1"/>
  <c r="I35" i="17"/>
  <c r="H37" i="17"/>
  <c r="H38" i="17"/>
  <c r="H16" i="17"/>
  <c r="I28" i="17" l="1"/>
  <c r="K28" i="17"/>
  <c r="G29" i="17"/>
  <c r="J29" i="17"/>
  <c r="J28" i="17"/>
  <c r="H19" i="17"/>
  <c r="H20" i="17"/>
  <c r="H28" i="17"/>
  <c r="H29" i="17"/>
  <c r="I37" i="17"/>
  <c r="I38" i="17"/>
  <c r="I16" i="17"/>
  <c r="J35" i="17"/>
  <c r="E31" i="17" l="1"/>
  <c r="J37" i="17"/>
  <c r="J16" i="17"/>
  <c r="J38" i="17"/>
  <c r="K35" i="17"/>
  <c r="I19" i="17"/>
  <c r="I20" i="17"/>
  <c r="K37" i="17" l="1"/>
  <c r="E39" i="17" s="1"/>
  <c r="K38" i="17"/>
  <c r="K16" i="17"/>
  <c r="J19" i="17"/>
  <c r="J20" i="17"/>
  <c r="K19" i="17" l="1"/>
  <c r="E22" i="17" s="1"/>
  <c r="K20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jad10</author>
  </authors>
  <commentList>
    <comment ref="F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For first floor retail only.  Upper floor retails rents would be significantly less.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Note the resulting monthly rent below in cell G39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Note the resulting monthly rent below in cell G40</t>
        </r>
      </text>
    </comment>
  </commentList>
</comments>
</file>

<file path=xl/sharedStrings.xml><?xml version="1.0" encoding="utf-8"?>
<sst xmlns="http://schemas.openxmlformats.org/spreadsheetml/2006/main" count="656" uniqueCount="444">
  <si>
    <t>FIT TEST</t>
    <phoneticPr fontId="9" type="noConversion"/>
  </si>
  <si>
    <t>Total Development Cost</t>
    <phoneticPr fontId="9" type="noConversion"/>
  </si>
  <si>
    <t xml:space="preserve">Less Stablized Vacancy </t>
    <phoneticPr fontId="9" type="noConversion"/>
  </si>
  <si>
    <t>Net Operating Income</t>
    <phoneticPr fontId="9" type="noConversion"/>
  </si>
  <si>
    <t>LTC</t>
    <phoneticPr fontId="9" type="noConversion"/>
  </si>
  <si>
    <t>Principal</t>
    <phoneticPr fontId="9" type="noConversion"/>
  </si>
  <si>
    <t>Lender</t>
    <phoneticPr fontId="9" type="noConversion"/>
  </si>
  <si>
    <t>Payment =</t>
    <phoneticPr fontId="9" type="noConversion"/>
  </si>
  <si>
    <t>Investor</t>
    <phoneticPr fontId="9" type="noConversion"/>
  </si>
  <si>
    <t>Number</t>
  </si>
  <si>
    <t>Floor</t>
  </si>
  <si>
    <t>Elevation Space Diagram</t>
  </si>
  <si>
    <t>Gross</t>
    <phoneticPr fontId="9" type="noConversion"/>
  </si>
  <si>
    <t>Construction</t>
    <phoneticPr fontId="9" type="noConversion"/>
  </si>
  <si>
    <t>Soft Costs</t>
    <phoneticPr fontId="9" type="noConversion"/>
  </si>
  <si>
    <t>Apartment</t>
    <phoneticPr fontId="9" type="noConversion"/>
  </si>
  <si>
    <t>Space</t>
    <phoneticPr fontId="9" type="noConversion"/>
  </si>
  <si>
    <t>SF</t>
    <phoneticPr fontId="9" type="noConversion"/>
  </si>
  <si>
    <t>Effective Gross Income</t>
  </si>
  <si>
    <t>FF&amp;E</t>
  </si>
  <si>
    <t>Interest</t>
  </si>
  <si>
    <t>Term (years)</t>
  </si>
  <si>
    <t>Floor to Floor</t>
  </si>
  <si>
    <t>Gross revenues</t>
  </si>
  <si>
    <t>Efficiency</t>
  </si>
  <si>
    <t>Factor</t>
  </si>
  <si>
    <t>Area @</t>
  </si>
  <si>
    <t>Apartments</t>
  </si>
  <si>
    <t>(Less)</t>
  </si>
  <si>
    <t>Leads To:</t>
  </si>
  <si>
    <t>Annual Cost of Capital</t>
  </si>
  <si>
    <t>COMPARE</t>
  </si>
  <si>
    <t>Height</t>
  </si>
  <si>
    <t>Potential Gross Income</t>
  </si>
  <si>
    <t>Space</t>
  </si>
  <si>
    <t>Rate per Sq Ft.</t>
  </si>
  <si>
    <t>Total Operations Expenses</t>
  </si>
  <si>
    <t>Total Development Cost</t>
  </si>
  <si>
    <t xml:space="preserve">Type of </t>
  </si>
  <si>
    <t>Basement</t>
  </si>
  <si>
    <t xml:space="preserve"> Gross Area SF @</t>
  </si>
  <si>
    <t>Capital Stack and Financing Calculations</t>
  </si>
  <si>
    <t>Less Operating Expenses at:</t>
  </si>
  <si>
    <t>% of total</t>
  </si>
  <si>
    <t>Obligation Ratio</t>
  </si>
  <si>
    <t>Debt Service Coverage Ratio (DCSR)</t>
  </si>
  <si>
    <t xml:space="preserve">Total </t>
  </si>
  <si>
    <t>Data input cells</t>
  </si>
  <si>
    <t xml:space="preserve">Calculated cells </t>
  </si>
  <si>
    <t>Dividend Rate</t>
  </si>
  <si>
    <t>Leasable</t>
  </si>
  <si>
    <t>Property Acquistion</t>
  </si>
  <si>
    <t>Retail</t>
  </si>
  <si>
    <t>Gross Building SF (Square Foot)</t>
  </si>
  <si>
    <t>Resident NRSF (Net Rentable)</t>
  </si>
  <si>
    <t>Retail NRSF</t>
  </si>
  <si>
    <t>Residential Units</t>
  </si>
  <si>
    <t>Average Residential Unit Size (SF)</t>
  </si>
  <si>
    <t>Total Cost Of Construction</t>
  </si>
  <si>
    <t>Loan to Stablized Value</t>
  </si>
  <si>
    <t>Stabilized NOI</t>
  </si>
  <si>
    <t>Debt Yield Stablized (DYS)</t>
  </si>
  <si>
    <t>DSCR</t>
  </si>
  <si>
    <t>PROJECT SUMMARY</t>
  </si>
  <si>
    <t>LOAN REQUEST</t>
  </si>
  <si>
    <t xml:space="preserve">  Selling Expenses </t>
  </si>
  <si>
    <t xml:space="preserve">  Capitalization Rate at end of Holding Period</t>
  </si>
  <si>
    <t>years</t>
  </si>
  <si>
    <t xml:space="preserve">  Desired Holding Period</t>
  </si>
  <si>
    <t xml:space="preserve">  Desired Equity After-Tax IRR</t>
  </si>
  <si>
    <t xml:space="preserve">  Desired Equity Before-Tax IRR</t>
  </si>
  <si>
    <t>80% LTV</t>
  </si>
  <si>
    <t xml:space="preserve">  Loan to Value Ratio</t>
  </si>
  <si>
    <t xml:space="preserve">  Desired Total Property Before-Tax Return</t>
  </si>
  <si>
    <t>Investment Parameters</t>
  </si>
  <si>
    <t>straight-line</t>
  </si>
  <si>
    <t xml:space="preserve">    Depreciation Method</t>
  </si>
  <si>
    <t xml:space="preserve">    Average Depreciable Life</t>
  </si>
  <si>
    <t>Assume reserves spent each year</t>
  </si>
  <si>
    <t xml:space="preserve">    Depreciable Basis Reserves</t>
  </si>
  <si>
    <t xml:space="preserve">  Depreciation Parameters - Replacement Reserves</t>
  </si>
  <si>
    <t xml:space="preserve">    Depreciable Basis of Initial Investment</t>
  </si>
  <si>
    <t xml:space="preserve">  Depreciation Parameters - Initial Investment</t>
  </si>
  <si>
    <t xml:space="preserve">  Capital Gains Tax Rate</t>
  </si>
  <si>
    <t xml:space="preserve">  Depreciation Recapture Tax Rate</t>
  </si>
  <si>
    <t xml:space="preserve">  Ordinary Income Tax Rate</t>
  </si>
  <si>
    <t>Tax Environment</t>
  </si>
  <si>
    <t>point</t>
  </si>
  <si>
    <t xml:space="preserve">  Points or Financing Costs at Origination</t>
  </si>
  <si>
    <t xml:space="preserve">  Term</t>
  </si>
  <si>
    <t xml:space="preserve">  Annual Debt Service</t>
  </si>
  <si>
    <t xml:space="preserve">  Payments per year</t>
  </si>
  <si>
    <t xml:space="preserve">  Amortization</t>
  </si>
  <si>
    <t xml:space="preserve">  Interest Rate</t>
  </si>
  <si>
    <t xml:space="preserve">  LTV Ratio</t>
  </si>
  <si>
    <t>Ending Bal</t>
  </si>
  <si>
    <t>Princ. Amort.</t>
  </si>
  <si>
    <t>End of Year</t>
  </si>
  <si>
    <t>Amortization Schedule</t>
  </si>
  <si>
    <t>Financing and Amortization Schedule</t>
  </si>
  <si>
    <t xml:space="preserve">  Replacement Reserves - Percent of EGI</t>
  </si>
  <si>
    <t xml:space="preserve">  Vacancy and Collection Losses</t>
  </si>
  <si>
    <t>N/A</t>
  </si>
  <si>
    <t xml:space="preserve">  Annual Expense Growth</t>
  </si>
  <si>
    <t xml:space="preserve">  Annual Rental and Revenue Growth</t>
  </si>
  <si>
    <t>Year 6</t>
  </si>
  <si>
    <t>Year 5</t>
  </si>
  <si>
    <t>Year 4</t>
  </si>
  <si>
    <t>Year 3</t>
  </si>
  <si>
    <t>Year 2</t>
  </si>
  <si>
    <t>Year 1</t>
  </si>
  <si>
    <t>Market Environment</t>
  </si>
  <si>
    <t>Units</t>
  </si>
  <si>
    <t xml:space="preserve">  Two-Bedroom Apartment</t>
  </si>
  <si>
    <t xml:space="preserve">  One-Bedroom Apartment</t>
  </si>
  <si>
    <t>NSF</t>
  </si>
  <si>
    <t xml:space="preserve">  Parking Garage </t>
  </si>
  <si>
    <t xml:space="preserve">  Ground Floor Retail Space</t>
  </si>
  <si>
    <t>Variable OE</t>
  </si>
  <si>
    <t>Gross Income</t>
  </si>
  <si>
    <t>per Apt. Unit</t>
  </si>
  <si>
    <t>Rent per NSF</t>
  </si>
  <si>
    <t>Per Apt. Unit</t>
  </si>
  <si>
    <t>Units or NSF</t>
  </si>
  <si>
    <t>Quantity</t>
  </si>
  <si>
    <t>Rent Roll</t>
  </si>
  <si>
    <t>Potential</t>
  </si>
  <si>
    <t>Monthly Rent</t>
  </si>
  <si>
    <t>Annual</t>
  </si>
  <si>
    <t>Net Sq. Ft.</t>
  </si>
  <si>
    <t xml:space="preserve">  Equals: Total Cost</t>
  </si>
  <si>
    <t xml:space="preserve">  Add: Infrastructure</t>
  </si>
  <si>
    <t xml:space="preserve">  Cost Estimate</t>
  </si>
  <si>
    <t xml:space="preserve">  Total  Area</t>
  </si>
  <si>
    <t xml:space="preserve">  Ground Floor Retail</t>
  </si>
  <si>
    <t xml:space="preserve">  Parking Garage</t>
  </si>
  <si>
    <t>SF (GSF)</t>
  </si>
  <si>
    <t>Allowed (NSF)</t>
  </si>
  <si>
    <t>2 BR-Apt</t>
  </si>
  <si>
    <t>1 BR-Apt</t>
  </si>
  <si>
    <t>Garage</t>
  </si>
  <si>
    <t>Storage</t>
  </si>
  <si>
    <t>Space Mix in NSF (GSF in column L)</t>
  </si>
  <si>
    <t>Total Gross</t>
  </si>
  <si>
    <t xml:space="preserve">Total Space </t>
  </si>
  <si>
    <t>Parking</t>
  </si>
  <si>
    <t>Prime</t>
  </si>
  <si>
    <t>for the project</t>
  </si>
  <si>
    <t xml:space="preserve">  Fixed Operating Expenses - Year 1 irrespective of use</t>
  </si>
  <si>
    <t>per GSF</t>
  </si>
  <si>
    <t>White Cells are calculations</t>
  </si>
  <si>
    <t>Green Cells are fixed but need to be specified</t>
  </si>
  <si>
    <t>Blue cells are inputs</t>
  </si>
  <si>
    <t>Parking Garage</t>
  </si>
  <si>
    <t>Apartment Uses</t>
  </si>
  <si>
    <t>per Gross SF</t>
  </si>
  <si>
    <t xml:space="preserve">  Prime Ground Floor Retail Space</t>
  </si>
  <si>
    <t>Basement Storage</t>
  </si>
  <si>
    <t>Per NSF-Yr. 1</t>
  </si>
  <si>
    <t>Project Cost</t>
  </si>
  <si>
    <t>Space Assumptions</t>
  </si>
  <si>
    <t>Retail Uses</t>
  </si>
  <si>
    <t>Gross Rent</t>
  </si>
  <si>
    <t>Assumptions</t>
  </si>
  <si>
    <t>Project Name</t>
  </si>
  <si>
    <t xml:space="preserve">Soft Costs </t>
  </si>
  <si>
    <t>Appraisal</t>
  </si>
  <si>
    <t>Attorney/Legal Fees</t>
  </si>
  <si>
    <t>Structural Engineer</t>
  </si>
  <si>
    <t>Construction Management (3.5%)</t>
  </si>
  <si>
    <t>Expeditor/Code Consultant</t>
  </si>
  <si>
    <t>Surveyors</t>
  </si>
  <si>
    <t>Property Taxes</t>
  </si>
  <si>
    <t>Title Insurance</t>
  </si>
  <si>
    <t>Property Insurance</t>
  </si>
  <si>
    <t>Utilities (Water/Electricity)</t>
  </si>
  <si>
    <t>Marketing/Advertising</t>
  </si>
  <si>
    <t>Energy Efficiency Consultant</t>
  </si>
  <si>
    <t>NYSERDA</t>
  </si>
  <si>
    <t>Acquisiton Fee 2%</t>
  </si>
  <si>
    <t>Other Professional Fees</t>
  </si>
  <si>
    <t>Total Soft Costs &amp; Professional Fees</t>
  </si>
  <si>
    <t xml:space="preserve">  Total Cost per NSF/GSF</t>
  </si>
  <si>
    <t xml:space="preserve">  Land, Specialy Costs &amp; Soft Costs irrespective of use mix</t>
  </si>
  <si>
    <t>Soil Investigation/Environmentals</t>
  </si>
  <si>
    <t xml:space="preserve">Permits Fees </t>
  </si>
  <si>
    <t>AoRa Development</t>
  </si>
  <si>
    <t>(Does not include financing costs)</t>
  </si>
  <si>
    <t>Start Up/Mobilization Phase I</t>
  </si>
  <si>
    <t>Construction MGT Mobilization</t>
  </si>
  <si>
    <t>(20% of 3.5% of Hard/Specialty Cost Calculations)</t>
  </si>
  <si>
    <t>(Project Total CM  Fee)</t>
  </si>
  <si>
    <t>Earnest Money Deposit</t>
  </si>
  <si>
    <t>Legal Fees - Retainer</t>
  </si>
  <si>
    <t>Environmental Analysis</t>
  </si>
  <si>
    <t>Property Survey</t>
  </si>
  <si>
    <t xml:space="preserve">Sub-Total </t>
  </si>
  <si>
    <t>Property Purchase</t>
  </si>
  <si>
    <t>Acquisition Fee</t>
  </si>
  <si>
    <t>Subtotal Mobilization and Property Acquisition</t>
  </si>
  <si>
    <t>(Initial Start Up and Acquisition Funds Needed)</t>
  </si>
  <si>
    <t>Design Phase</t>
  </si>
  <si>
    <t>Design Mobilization</t>
  </si>
  <si>
    <t>1 month</t>
  </si>
  <si>
    <t>Structural engineer</t>
  </si>
  <si>
    <t>Energy efficiency consultant</t>
  </si>
  <si>
    <t>Renewable Energy/HVAC/Solar</t>
  </si>
  <si>
    <t>Construction MGT - Design Phase</t>
  </si>
  <si>
    <t>Design Existing Conditions</t>
  </si>
  <si>
    <t>4 months</t>
  </si>
  <si>
    <t xml:space="preserve">Design Team </t>
  </si>
  <si>
    <t>Monthly</t>
  </si>
  <si>
    <t>Vertical Transportation</t>
  </si>
  <si>
    <t>Schematic Design</t>
  </si>
  <si>
    <t>Design Development</t>
  </si>
  <si>
    <t>Construction Documents</t>
  </si>
  <si>
    <t>2 months</t>
  </si>
  <si>
    <t>Design team</t>
  </si>
  <si>
    <t>Legal fees</t>
  </si>
  <si>
    <t>Subtotal Design and Engineering</t>
  </si>
  <si>
    <t>Department of Buildings - Permitting</t>
  </si>
  <si>
    <t>Expediter/Code Consultant</t>
  </si>
  <si>
    <t>Permit fees</t>
  </si>
  <si>
    <t>(Two Installments)</t>
  </si>
  <si>
    <t>Plans Exam Fee</t>
  </si>
  <si>
    <t>Property taxes</t>
  </si>
  <si>
    <t xml:space="preserve">(Part of the Other Professional Fees) </t>
  </si>
  <si>
    <t>(Portion of Legal Fees)</t>
  </si>
  <si>
    <t>Misc DOB fees</t>
  </si>
  <si>
    <t>Marketing</t>
  </si>
  <si>
    <t>Subtotal DOB - Permitting</t>
  </si>
  <si>
    <t>Subtotal of Above</t>
  </si>
  <si>
    <t>(Permitting, Design, Engineering and Mobilization)</t>
  </si>
  <si>
    <t>Demolition/Carting</t>
  </si>
  <si>
    <t>Foundation</t>
  </si>
  <si>
    <t>Modular Factory Construction</t>
  </si>
  <si>
    <t>Modular Delivery And Set</t>
  </si>
  <si>
    <t>Finishing,  Inspection and Testing</t>
  </si>
  <si>
    <t>Vertical Transportation (Elevators)</t>
  </si>
  <si>
    <t>Utilities</t>
  </si>
  <si>
    <t>Project Grand Total</t>
  </si>
  <si>
    <t>Project Cost Breakdown ($USD)</t>
  </si>
  <si>
    <t>Site Acquisition - Franklin Ave, Prospect Place and Park Place Addresses</t>
  </si>
  <si>
    <t xml:space="preserve">3 Months Due Diligence </t>
  </si>
  <si>
    <t>Solar PV</t>
  </si>
  <si>
    <t>Solar Hydronic (hot water)</t>
  </si>
  <si>
    <t>(30% Tax Credit is Available in 2019)</t>
  </si>
  <si>
    <t>High Efficiency HVAC</t>
  </si>
  <si>
    <t>(Preheat hot water)</t>
  </si>
  <si>
    <t>Total</t>
  </si>
  <si>
    <t>6 Months Design and Engineering</t>
  </si>
  <si>
    <t>1 months</t>
  </si>
  <si>
    <t xml:space="preserve">Specialty Costs are line item costs for Renewable Energy Systems (RES) and Vertical Transportation </t>
  </si>
  <si>
    <t>Close Out</t>
  </si>
  <si>
    <t>24 Months Total</t>
  </si>
  <si>
    <t>Remaining 10%</t>
  </si>
  <si>
    <t>Remaining 30%</t>
  </si>
  <si>
    <t>1 Month</t>
  </si>
  <si>
    <t>Remaining 15%</t>
  </si>
  <si>
    <t xml:space="preserve">(Estimated at 25 hours, Part of the Other Professional Fees) </t>
  </si>
  <si>
    <t>Demo Permit</t>
  </si>
  <si>
    <t>In this model, a reasonable percentage of the applicable service providers' fees (legal, design team, etc) is retained for the Close-Out process.</t>
  </si>
  <si>
    <t>(Total CM Fee Paid Monthly, less Close Out)</t>
  </si>
  <si>
    <t xml:space="preserve">Construction MGT </t>
  </si>
  <si>
    <t>On-Going Construction Mgt</t>
  </si>
  <si>
    <t>(Concurrent with Modular)</t>
  </si>
  <si>
    <t>(Overlaps with Design, Engineering and Mobilization by 2 Months)</t>
  </si>
  <si>
    <t>13 Months</t>
  </si>
  <si>
    <t>3 Months</t>
  </si>
  <si>
    <t>Demolition, Carting and Site Prep</t>
  </si>
  <si>
    <t>2% of Dev Cost - Paid at Closing</t>
  </si>
  <si>
    <t>Modular Construction</t>
  </si>
  <si>
    <t>Subtotal Site Prep Const.</t>
  </si>
  <si>
    <t>Subtotal Modular Const.</t>
  </si>
  <si>
    <t>(Concurrent with Site Prep)</t>
  </si>
  <si>
    <t>6 Months</t>
  </si>
  <si>
    <t>Total Close-Out</t>
  </si>
  <si>
    <t xml:space="preserve">General and Modular Construction </t>
  </si>
  <si>
    <t>Total Expenses</t>
  </si>
  <si>
    <t>Gross Scheduled Rent</t>
  </si>
  <si>
    <t>Insurance</t>
  </si>
  <si>
    <t>Trash Collection</t>
  </si>
  <si>
    <t>Net Operating Income</t>
  </si>
  <si>
    <t>Vacancy 3%</t>
  </si>
  <si>
    <t>Expenses</t>
  </si>
  <si>
    <t xml:space="preserve">Income </t>
  </si>
  <si>
    <t>Crown Heights Feasibility</t>
  </si>
  <si>
    <t>Elevator Banks (QTY 3)</t>
  </si>
  <si>
    <t>Closed cell insulation (bldg shells)</t>
  </si>
  <si>
    <t>Included in D4</t>
  </si>
  <si>
    <t>MEP/Vertical Transportation Design Fees</t>
  </si>
  <si>
    <t>This Tab</t>
  </si>
  <si>
    <t>Design Team (Architects' retainer 15%)</t>
  </si>
  <si>
    <t>diff</t>
  </si>
  <si>
    <t>Remaining 24%</t>
  </si>
  <si>
    <t>Soft Cost Checklist</t>
  </si>
  <si>
    <t>Specialty Cost Checklist</t>
  </si>
  <si>
    <t>RES (Total of Below)</t>
  </si>
  <si>
    <t>√</t>
  </si>
  <si>
    <t>Contingency</t>
  </si>
  <si>
    <t xml:space="preserve">Lawyer </t>
  </si>
  <si>
    <t>Topographical Survey</t>
  </si>
  <si>
    <t>Title</t>
  </si>
  <si>
    <t>Structural Engineering</t>
  </si>
  <si>
    <t>Permitting</t>
  </si>
  <si>
    <t>Architect (Design Document Stage)</t>
  </si>
  <si>
    <t>Construction Management (Staff)</t>
  </si>
  <si>
    <t>Mortgage Tax</t>
  </si>
  <si>
    <t>Included</t>
  </si>
  <si>
    <t xml:space="preserve">  Studio Apartment</t>
  </si>
  <si>
    <t>IRR</t>
  </si>
  <si>
    <t>Debt Coverage Ratio</t>
  </si>
  <si>
    <t xml:space="preserve">  Total Cash Flows</t>
  </si>
  <si>
    <t>Remaining Mortgage Balance</t>
  </si>
  <si>
    <t>Annual Debt Service</t>
  </si>
  <si>
    <t>Initial Loan Amount plus Financing Costs</t>
  </si>
  <si>
    <t>Lender Yield</t>
  </si>
  <si>
    <t>After-Tax Equity Dividend Rate</t>
  </si>
  <si>
    <t>After-Tax Sales Proceeds to Equity</t>
  </si>
  <si>
    <t>After-Tax Cash Flows to Equity</t>
  </si>
  <si>
    <t>Initial Equity Investment</t>
  </si>
  <si>
    <t>Equity Investment Decision - After-Tax</t>
  </si>
  <si>
    <t>Before-Tax Equity Dividend Rate</t>
  </si>
  <si>
    <t>Before-Tax Equity Sales Proceeds</t>
  </si>
  <si>
    <t>Before-Tax Cash Flows to Equity</t>
  </si>
  <si>
    <t>Equity Investment Decision - Before-Tax</t>
  </si>
  <si>
    <t>Cash Flow Dividend Rate</t>
  </si>
  <si>
    <t>Net Sales Proceeds</t>
  </si>
  <si>
    <t>Total Cash Flows from Operations</t>
  </si>
  <si>
    <t>Initial Investment</t>
  </si>
  <si>
    <t>Overall Property Investment Decision</t>
  </si>
  <si>
    <t>Year 0</t>
  </si>
  <si>
    <t>Crown Heights Investment Analysis</t>
  </si>
  <si>
    <t>Cash Flow from Operations</t>
  </si>
  <si>
    <t>Less: Annual Debt Service</t>
  </si>
  <si>
    <t>Metrics</t>
  </si>
  <si>
    <t xml:space="preserve">  Vacancy - Percent</t>
  </si>
  <si>
    <t xml:space="preserve">  Operating Expense Ratio</t>
  </si>
  <si>
    <t xml:space="preserve">  Net Operating Income Margin</t>
  </si>
  <si>
    <t xml:space="preserve">  Debt Coverage Ratio</t>
  </si>
  <si>
    <t>Cash Calculation</t>
  </si>
  <si>
    <t>Less:  Vacancy &amp; Collection Loss</t>
  </si>
  <si>
    <t>Add: Misc Revenues</t>
  </si>
  <si>
    <t xml:space="preserve">  Equals: Effective Gross Income</t>
  </si>
  <si>
    <t xml:space="preserve">  Equals: Net Operating Income</t>
  </si>
  <si>
    <t>Less: Reserve for Replacement</t>
  </si>
  <si>
    <t>Less: Non-Recurring Expenses</t>
  </si>
  <si>
    <t xml:space="preserve">  Equals: Cash Flow from Operations</t>
  </si>
  <si>
    <t xml:space="preserve">  Equals: Before-Tax Equity Cash Flow</t>
  </si>
  <si>
    <t>Less: Income Taxes</t>
  </si>
  <si>
    <t xml:space="preserve">  Equals: After-Tax Equity Cash Flow</t>
  </si>
  <si>
    <t>Tax Calculation</t>
  </si>
  <si>
    <t>Add: Reserve for Replacement</t>
  </si>
  <si>
    <t>Less: Mortgage Interest</t>
  </si>
  <si>
    <t>Less: Depreciation - Initial Investment</t>
  </si>
  <si>
    <t>Less: Depreciation - Reserve for Repl.</t>
  </si>
  <si>
    <t>Less: Amortized Financing Costs</t>
  </si>
  <si>
    <t xml:space="preserve">  Equals: Taxable Income</t>
  </si>
  <si>
    <t>Times: Tax Rate</t>
  </si>
  <si>
    <t xml:space="preserve">  Equals: Income Taxes</t>
  </si>
  <si>
    <t>Less: Operating Expenses</t>
  </si>
  <si>
    <t>Selling Expenses</t>
  </si>
  <si>
    <t>After-tax Equity Reversion</t>
  </si>
  <si>
    <t>Less:  Total Taxes on Sale</t>
  </si>
  <si>
    <t>Before-Tax Equity Reversion</t>
  </si>
  <si>
    <t xml:space="preserve">  Equals: Adjusted Basis</t>
  </si>
  <si>
    <t>E.  Calculation of After-Tax Cash Flow From Sale</t>
  </si>
  <si>
    <t>Less:  Accumulated Depreciation - Repl. Reserves</t>
  </si>
  <si>
    <t>Add: Depreciable Basis - Replacement Reserves</t>
  </si>
  <si>
    <t xml:space="preserve"> Equals: Total Taxes on Sale</t>
  </si>
  <si>
    <t>Less:  Accumulated Depreciation - Initial Investment</t>
  </si>
  <si>
    <t xml:space="preserve"> Equals: Capital Gain Tax</t>
  </si>
  <si>
    <t>Times: Capital Gain Tax Rate</t>
  </si>
  <si>
    <t>C.  Adjusted Basis Calculations:</t>
  </si>
  <si>
    <t>Capital Gain</t>
  </si>
  <si>
    <t xml:space="preserve"> Equals: Before-Tax Equity Reversion</t>
  </si>
  <si>
    <t xml:space="preserve"> Equals: Depreciation Recapture Tax</t>
  </si>
  <si>
    <t>Less: Remaining Mortgage Balance</t>
  </si>
  <si>
    <t>Times: Depreciation Recapture Tax Rate</t>
  </si>
  <si>
    <t>Net Sale Proceeds</t>
  </si>
  <si>
    <t>Accumulated Depreciation (total)</t>
  </si>
  <si>
    <t>B.  Calculation of Before-Tax Cash Flow From Sale</t>
  </si>
  <si>
    <t xml:space="preserve"> Equals: Capital Gain</t>
  </si>
  <si>
    <t xml:space="preserve"> Equals: Net Sale Proceeds</t>
  </si>
  <si>
    <t>Less: Accumulated Depreciation (total)</t>
  </si>
  <si>
    <t>Less:  Selling Expenses</t>
  </si>
  <si>
    <t xml:space="preserve"> Equals: Total Gain</t>
  </si>
  <si>
    <t xml:space="preserve"> Equals: Expected Sale Price</t>
  </si>
  <si>
    <t>Less:  Adjusted Basis</t>
  </si>
  <si>
    <t>Divided by: Cap. Rate</t>
  </si>
  <si>
    <t>Estimated Project NOI in Year 6</t>
  </si>
  <si>
    <t>D.  Taxes Due on Sale Calculations:</t>
  </si>
  <si>
    <t>A.  Sale Price Calculation</t>
  </si>
  <si>
    <t>Estimate of Cash Flows from Sale at End of Holding Period</t>
  </si>
  <si>
    <t>Crown Heights</t>
  </si>
  <si>
    <t>NPV @ 10%</t>
  </si>
  <si>
    <t>NPV @ 14%</t>
  </si>
  <si>
    <t>NPV @ 10.75%</t>
  </si>
  <si>
    <t>$/SF</t>
  </si>
  <si>
    <t>Area (SF)</t>
  </si>
  <si>
    <t>Water &amp; Sewer</t>
  </si>
  <si>
    <t xml:space="preserve">Tax Abatement </t>
  </si>
  <si>
    <t>Budget</t>
  </si>
  <si>
    <t>Excavation/Shoring/Underpinning</t>
  </si>
  <si>
    <t>Parking System</t>
  </si>
  <si>
    <t>Sub-Total Construction =</t>
  </si>
  <si>
    <t>Hard Cost</t>
  </si>
  <si>
    <t>Stabilized Value (Year 5)</t>
  </si>
  <si>
    <t>Investor IRR</t>
  </si>
  <si>
    <t>Maintenance/Repairs/Service Contracts 3%</t>
  </si>
  <si>
    <t>Equity LP Amount</t>
  </si>
  <si>
    <t>Principal Loan Amount</t>
  </si>
  <si>
    <t xml:space="preserve">  FF&amp;E + Contingency</t>
  </si>
  <si>
    <t xml:space="preserve"> Three-Bedroom Apartment</t>
  </si>
  <si>
    <t>Studio</t>
  </si>
  <si>
    <t>3 BR-Apt</t>
  </si>
  <si>
    <t xml:space="preserve">  1-8 Floors</t>
  </si>
  <si>
    <t xml:space="preserve">  Laundromat/Storage/Retail Cellar</t>
  </si>
  <si>
    <t xml:space="preserve">  Basement Storage</t>
  </si>
  <si>
    <t>Soft Cost Assumptions</t>
  </si>
  <si>
    <t>Construction Management Fee</t>
  </si>
  <si>
    <t>Permit Fees psf</t>
  </si>
  <si>
    <t>Developer Fee</t>
  </si>
  <si>
    <t>Project Summary Assumtions</t>
  </si>
  <si>
    <t>Stabilized Cap Rate</t>
  </si>
  <si>
    <t>Residential Mix</t>
  </si>
  <si>
    <t>Parking/Storage</t>
  </si>
  <si>
    <t>(Paid Quarterly)</t>
  </si>
  <si>
    <t>Architectural Fee 2.8%</t>
  </si>
  <si>
    <t>Architectural Fee</t>
  </si>
  <si>
    <t>Prudential and HUD Fees</t>
  </si>
  <si>
    <t>Property Closing Costs</t>
  </si>
  <si>
    <t>Site Acquisition/Closings</t>
  </si>
  <si>
    <t>Remaining 50%</t>
  </si>
  <si>
    <t>(Not including FF&amp;E and contingency)</t>
  </si>
  <si>
    <t>Total Construction/CM &amp; Close Out</t>
  </si>
  <si>
    <t>Management Fee 3.5%</t>
  </si>
  <si>
    <t>Supertintendent $114/Mo/Unit</t>
  </si>
  <si>
    <t>Mortgage Cost</t>
  </si>
  <si>
    <t xml:space="preserve"> </t>
  </si>
  <si>
    <t xml:space="preserve"> Misc. (Laundromat, Cable, Storage)</t>
  </si>
  <si>
    <t xml:space="preserve"> Total</t>
  </si>
  <si>
    <t xml:space="preserve"> Laundromat &amp; Misc</t>
  </si>
  <si>
    <t>354 Clarkson Feasibility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</si>
</sst>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_(&quot;$&quot;* #,##0_);_(&quot;$&quot;* \(#,##0\);_(&quot;$&quot;* &quot;-&quot;?_);_(@_)"/>
    <numFmt numFmtId="168" formatCode="_([$$-409]* #,##0.00_);_([$$-409]* \(#,##0.00\);_([$$-409]* &quot;-&quot;??_);_(@_)"/>
    <numFmt numFmtId="169" formatCode="&quot;$&quot;#,##0"/>
    <numFmt numFmtId="170" formatCode="0.00%\ &quot;Stabilized Cap Rate&quot;"/>
    <numFmt numFmtId="171" formatCode="0%&quot; Mix&quot;"/>
    <numFmt numFmtId="172" formatCode="&quot;$&quot;#,##0.00"/>
    <numFmt numFmtId="173" formatCode="&quot;Architect (&quot;&quot;$&quot;0.00&quot;/sf)&quot;"/>
  </numFmts>
  <fonts count="4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2"/>
      <color indexed="8"/>
      <name val="Arial"/>
      <family val="2"/>
    </font>
    <font>
      <sz val="12"/>
      <color indexed="9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DDE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AC2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medium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1499679555650502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theme="0" tint="-0.1499679555650502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indexed="64"/>
      </bottom>
      <diagonal/>
    </border>
    <border>
      <left style="thin">
        <color auto="1"/>
      </left>
      <right style="thin">
        <color theme="0" tint="-0.14996795556505021"/>
      </right>
      <top style="thin">
        <color auto="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auto="1"/>
      </top>
      <bottom style="thin">
        <color indexed="64"/>
      </bottom>
      <diagonal/>
    </border>
  </borders>
  <cellStyleXfs count="5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21" fillId="5" borderId="0" applyNumberFormat="0" applyBorder="0" applyAlignment="0" applyProtection="0"/>
    <xf numFmtId="0" fontId="25" fillId="0" borderId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7" fillId="0" borderId="0"/>
    <xf numFmtId="0" fontId="38" fillId="0" borderId="0"/>
    <xf numFmtId="0" fontId="19" fillId="0" borderId="0"/>
  </cellStyleXfs>
  <cellXfs count="442">
    <xf numFmtId="0" fontId="0" fillId="0" borderId="0" xfId="0"/>
    <xf numFmtId="0" fontId="12" fillId="0" borderId="0" xfId="39" applyFont="1"/>
    <xf numFmtId="0" fontId="12" fillId="0" borderId="0" xfId="39" applyFont="1" applyAlignment="1">
      <alignment horizontal="center" vertical="center"/>
    </xf>
    <xf numFmtId="0" fontId="12" fillId="0" borderId="0" xfId="39" applyFont="1" applyAlignment="1">
      <alignment horizontal="left"/>
    </xf>
    <xf numFmtId="164" fontId="18" fillId="0" borderId="0" xfId="40" applyNumberFormat="1" applyFont="1" applyBorder="1"/>
    <xf numFmtId="164" fontId="14" fillId="0" borderId="0" xfId="40" applyNumberFormat="1" applyFont="1" applyBorder="1"/>
    <xf numFmtId="164" fontId="18" fillId="0" borderId="0" xfId="40" applyNumberFormat="1" applyFont="1"/>
    <xf numFmtId="0" fontId="12" fillId="0" borderId="1" xfId="39" applyFont="1" applyBorder="1"/>
    <xf numFmtId="0" fontId="12" fillId="0" borderId="0" xfId="39" applyFont="1" applyAlignment="1">
      <alignment horizontal="center"/>
    </xf>
    <xf numFmtId="0" fontId="17" fillId="0" borderId="11" xfId="39" applyFont="1" applyBorder="1"/>
    <xf numFmtId="0" fontId="12" fillId="0" borderId="5" xfId="39" applyFont="1" applyBorder="1"/>
    <xf numFmtId="164" fontId="17" fillId="0" borderId="5" xfId="40" applyNumberFormat="1" applyFont="1" applyBorder="1" applyAlignment="1">
      <alignment horizontal="center"/>
    </xf>
    <xf numFmtId="0" fontId="12" fillId="0" borderId="5" xfId="39" applyFont="1" applyBorder="1" applyAlignment="1">
      <alignment horizontal="center"/>
    </xf>
    <xf numFmtId="0" fontId="12" fillId="0" borderId="6" xfId="39" applyFont="1" applyBorder="1" applyAlignment="1">
      <alignment horizontal="center"/>
    </xf>
    <xf numFmtId="0" fontId="12" fillId="0" borderId="9" xfId="39" applyFont="1" applyBorder="1" applyAlignment="1">
      <alignment horizontal="center"/>
    </xf>
    <xf numFmtId="0" fontId="15" fillId="0" borderId="0" xfId="39" applyFont="1" applyAlignment="1">
      <alignment horizontal="right"/>
    </xf>
    <xf numFmtId="164" fontId="14" fillId="0" borderId="0" xfId="40" applyNumberFormat="1" applyFont="1" applyBorder="1" applyAlignment="1">
      <alignment horizontal="center"/>
    </xf>
    <xf numFmtId="0" fontId="12" fillId="0" borderId="3" xfId="39" applyFont="1" applyBorder="1" applyAlignment="1">
      <alignment horizontal="center"/>
    </xf>
    <xf numFmtId="0" fontId="16" fillId="0" borderId="9" xfId="39" applyFont="1" applyBorder="1" applyAlignment="1">
      <alignment horizontal="center"/>
    </xf>
    <xf numFmtId="0" fontId="16" fillId="0" borderId="0" xfId="39" applyFont="1" applyAlignment="1">
      <alignment horizontal="center"/>
    </xf>
    <xf numFmtId="164" fontId="17" fillId="0" borderId="0" xfId="40" applyNumberFormat="1" applyFont="1" applyBorder="1" applyAlignment="1">
      <alignment horizontal="center"/>
    </xf>
    <xf numFmtId="0" fontId="16" fillId="0" borderId="3" xfId="39" applyFont="1" applyBorder="1" applyAlignment="1">
      <alignment horizontal="center"/>
    </xf>
    <xf numFmtId="0" fontId="16" fillId="0" borderId="10" xfId="39" applyFont="1" applyBorder="1" applyAlignment="1">
      <alignment horizontal="center"/>
    </xf>
    <xf numFmtId="0" fontId="16" fillId="0" borderId="8" xfId="39" applyFont="1" applyBorder="1" applyAlignment="1">
      <alignment horizontal="center"/>
    </xf>
    <xf numFmtId="164" fontId="17" fillId="0" borderId="8" xfId="40" applyNumberFormat="1" applyFont="1" applyBorder="1" applyAlignment="1">
      <alignment horizontal="center"/>
    </xf>
    <xf numFmtId="164" fontId="16" fillId="0" borderId="4" xfId="40" applyNumberFormat="1" applyFont="1" applyBorder="1" applyAlignment="1">
      <alignment horizontal="center"/>
    </xf>
    <xf numFmtId="164" fontId="18" fillId="0" borderId="3" xfId="40" applyNumberFormat="1" applyFont="1" applyBorder="1" applyAlignment="1">
      <alignment horizontal="center"/>
    </xf>
    <xf numFmtId="0" fontId="12" fillId="2" borderId="16" xfId="39" applyFont="1" applyFill="1" applyBorder="1" applyAlignment="1">
      <alignment horizontal="center"/>
    </xf>
    <xf numFmtId="0" fontId="12" fillId="0" borderId="2" xfId="39" applyFont="1" applyBorder="1" applyAlignment="1">
      <alignment horizontal="center"/>
    </xf>
    <xf numFmtId="0" fontId="12" fillId="0" borderId="1" xfId="39" applyFont="1" applyBorder="1" applyAlignment="1">
      <alignment horizontal="center"/>
    </xf>
    <xf numFmtId="0" fontId="12" fillId="0" borderId="11" xfId="39" applyFont="1" applyBorder="1" applyAlignment="1">
      <alignment horizontal="center"/>
    </xf>
    <xf numFmtId="0" fontId="12" fillId="3" borderId="12" xfId="39" applyFont="1" applyFill="1" applyBorder="1" applyAlignment="1">
      <alignment horizontal="center"/>
    </xf>
    <xf numFmtId="164" fontId="14" fillId="0" borderId="11" xfId="40" applyNumberFormat="1" applyFont="1" applyBorder="1"/>
    <xf numFmtId="0" fontId="17" fillId="0" borderId="0" xfId="39" applyFont="1"/>
    <xf numFmtId="0" fontId="16" fillId="0" borderId="11" xfId="39" applyFont="1" applyBorder="1"/>
    <xf numFmtId="0" fontId="17" fillId="0" borderId="11" xfId="39" applyFont="1" applyBorder="1" applyAlignment="1">
      <alignment horizontal="left"/>
    </xf>
    <xf numFmtId="0" fontId="12" fillId="0" borderId="6" xfId="39" applyFont="1" applyBorder="1"/>
    <xf numFmtId="0" fontId="17" fillId="0" borderId="10" xfId="39" applyFont="1" applyBorder="1" applyAlignment="1">
      <alignment horizontal="right"/>
    </xf>
    <xf numFmtId="0" fontId="17" fillId="0" borderId="8" xfId="39" applyFont="1" applyBorder="1" applyAlignment="1">
      <alignment horizontal="right"/>
    </xf>
    <xf numFmtId="0" fontId="17" fillId="0" borderId="9" xfId="39" applyFont="1" applyBorder="1" applyAlignment="1">
      <alignment horizontal="left"/>
    </xf>
    <xf numFmtId="0" fontId="12" fillId="0" borderId="10" xfId="39" applyFont="1" applyBorder="1"/>
    <xf numFmtId="0" fontId="12" fillId="0" borderId="8" xfId="39" applyFont="1" applyBorder="1" applyAlignment="1">
      <alignment horizontal="right"/>
    </xf>
    <xf numFmtId="0" fontId="16" fillId="0" borderId="9" xfId="39" applyFont="1" applyBorder="1" applyAlignment="1">
      <alignment horizontal="right"/>
    </xf>
    <xf numFmtId="165" fontId="12" fillId="0" borderId="0" xfId="42" applyNumberFormat="1" applyFont="1" applyAlignment="1">
      <alignment horizontal="center"/>
    </xf>
    <xf numFmtId="0" fontId="16" fillId="0" borderId="0" xfId="39" applyFont="1" applyAlignment="1">
      <alignment horizontal="right"/>
    </xf>
    <xf numFmtId="164" fontId="12" fillId="0" borderId="0" xfId="39" applyNumberFormat="1" applyFont="1"/>
    <xf numFmtId="164" fontId="12" fillId="0" borderId="3" xfId="39" applyNumberFormat="1" applyFont="1" applyBorder="1"/>
    <xf numFmtId="9" fontId="12" fillId="4" borderId="12" xfId="39" applyNumberFormat="1" applyFont="1" applyFill="1" applyBorder="1"/>
    <xf numFmtId="9" fontId="12" fillId="0" borderId="0" xfId="42" applyFont="1"/>
    <xf numFmtId="0" fontId="12" fillId="0" borderId="2" xfId="39" applyFont="1" applyBorder="1"/>
    <xf numFmtId="0" fontId="12" fillId="0" borderId="1" xfId="39" applyFont="1" applyBorder="1" applyAlignment="1">
      <alignment horizontal="right"/>
    </xf>
    <xf numFmtId="0" fontId="16" fillId="0" borderId="1" xfId="39" applyFont="1" applyBorder="1" applyAlignment="1">
      <alignment horizontal="right"/>
    </xf>
    <xf numFmtId="164" fontId="16" fillId="0" borderId="0" xfId="40" applyNumberFormat="1" applyFont="1" applyAlignment="1">
      <alignment horizontal="center" vertical="center"/>
    </xf>
    <xf numFmtId="0" fontId="12" fillId="0" borderId="9" xfId="39" applyFont="1" applyBorder="1" applyAlignment="1">
      <alignment horizontal="right"/>
    </xf>
    <xf numFmtId="0" fontId="12" fillId="0" borderId="0" xfId="39" applyFont="1" applyAlignment="1">
      <alignment horizontal="right"/>
    </xf>
    <xf numFmtId="9" fontId="12" fillId="0" borderId="1" xfId="39" applyNumberFormat="1" applyFont="1" applyBorder="1"/>
    <xf numFmtId="10" fontId="12" fillId="0" borderId="0" xfId="39" applyNumberFormat="1" applyFont="1"/>
    <xf numFmtId="0" fontId="12" fillId="0" borderId="26" xfId="39" applyFont="1" applyBorder="1"/>
    <xf numFmtId="0" fontId="12" fillId="0" borderId="10" xfId="39" applyFont="1" applyBorder="1" applyAlignment="1">
      <alignment horizontal="right"/>
    </xf>
    <xf numFmtId="9" fontId="12" fillId="4" borderId="27" xfId="39" applyNumberFormat="1" applyFont="1" applyFill="1" applyBorder="1"/>
    <xf numFmtId="3" fontId="12" fillId="0" borderId="0" xfId="39" applyNumberFormat="1" applyFont="1"/>
    <xf numFmtId="0" fontId="12" fillId="0" borderId="14" xfId="39" applyFont="1" applyBorder="1"/>
    <xf numFmtId="0" fontId="12" fillId="0" borderId="13" xfId="39" applyFont="1" applyBorder="1"/>
    <xf numFmtId="0" fontId="17" fillId="0" borderId="13" xfId="39" applyFont="1" applyBorder="1" applyAlignment="1">
      <alignment horizontal="right"/>
    </xf>
    <xf numFmtId="9" fontId="12" fillId="0" borderId="14" xfId="39" applyNumberFormat="1" applyFont="1" applyBorder="1"/>
    <xf numFmtId="43" fontId="12" fillId="0" borderId="5" xfId="39" applyNumberFormat="1" applyFont="1" applyBorder="1"/>
    <xf numFmtId="164" fontId="16" fillId="0" borderId="7" xfId="39" applyNumberFormat="1" applyFont="1" applyBorder="1"/>
    <xf numFmtId="0" fontId="12" fillId="0" borderId="17" xfId="39" applyFont="1" applyBorder="1"/>
    <xf numFmtId="0" fontId="12" fillId="0" borderId="20" xfId="39" applyFont="1" applyBorder="1"/>
    <xf numFmtId="0" fontId="12" fillId="0" borderId="20" xfId="39" applyFont="1" applyBorder="1" applyAlignment="1">
      <alignment horizontal="left"/>
    </xf>
    <xf numFmtId="0" fontId="17" fillId="0" borderId="20" xfId="39" applyFont="1" applyBorder="1" applyAlignment="1">
      <alignment horizontal="left"/>
    </xf>
    <xf numFmtId="0" fontId="12" fillId="0" borderId="2" xfId="39" applyFont="1" applyBorder="1" applyAlignment="1">
      <alignment horizontal="left"/>
    </xf>
    <xf numFmtId="0" fontId="18" fillId="0" borderId="0" xfId="39" applyFont="1"/>
    <xf numFmtId="164" fontId="18" fillId="4" borderId="12" xfId="40" applyNumberFormat="1" applyFont="1" applyFill="1" applyBorder="1"/>
    <xf numFmtId="0" fontId="18" fillId="0" borderId="3" xfId="39" applyFont="1" applyBorder="1"/>
    <xf numFmtId="0" fontId="18" fillId="0" borderId="10" xfId="39" applyFont="1" applyBorder="1"/>
    <xf numFmtId="0" fontId="18" fillId="0" borderId="8" xfId="39" applyFont="1" applyBorder="1" applyAlignment="1">
      <alignment horizontal="right"/>
    </xf>
    <xf numFmtId="0" fontId="18" fillId="0" borderId="4" xfId="39" applyFont="1" applyBorder="1"/>
    <xf numFmtId="0" fontId="18" fillId="0" borderId="19" xfId="39" applyFont="1" applyBorder="1"/>
    <xf numFmtId="0" fontId="18" fillId="0" borderId="20" xfId="39" applyFont="1" applyBorder="1" applyAlignment="1">
      <alignment horizontal="right"/>
    </xf>
    <xf numFmtId="0" fontId="18" fillId="0" borderId="22" xfId="39" applyFont="1" applyBorder="1"/>
    <xf numFmtId="0" fontId="18" fillId="0" borderId="23" xfId="39" applyFont="1" applyBorder="1" applyAlignment="1">
      <alignment horizontal="right"/>
    </xf>
    <xf numFmtId="0" fontId="18" fillId="0" borderId="25" xfId="39" applyFont="1" applyBorder="1"/>
    <xf numFmtId="0" fontId="18" fillId="0" borderId="2" xfId="39" applyFont="1" applyBorder="1"/>
    <xf numFmtId="0" fontId="20" fillId="0" borderId="1" xfId="39" applyFont="1" applyBorder="1" applyAlignment="1">
      <alignment horizontal="right"/>
    </xf>
    <xf numFmtId="0" fontId="18" fillId="0" borderId="7" xfId="39" applyFont="1" applyBorder="1"/>
    <xf numFmtId="164" fontId="18" fillId="4" borderId="1" xfId="40" applyNumberFormat="1" applyFont="1" applyFill="1" applyBorder="1" applyAlignment="1">
      <alignment horizontal="center"/>
    </xf>
    <xf numFmtId="9" fontId="20" fillId="4" borderId="16" xfId="39" applyNumberFormat="1" applyFont="1" applyFill="1" applyBorder="1"/>
    <xf numFmtId="0" fontId="18" fillId="0" borderId="18" xfId="39" applyFont="1" applyBorder="1"/>
    <xf numFmtId="10" fontId="18" fillId="4" borderId="21" xfId="39" applyNumberFormat="1" applyFont="1" applyFill="1" applyBorder="1"/>
    <xf numFmtId="0" fontId="18" fillId="0" borderId="21" xfId="39" applyFont="1" applyBorder="1"/>
    <xf numFmtId="0" fontId="18" fillId="4" borderId="21" xfId="39" applyFont="1" applyFill="1" applyBorder="1"/>
    <xf numFmtId="0" fontId="18" fillId="0" borderId="21" xfId="39" applyFont="1" applyBorder="1" applyAlignment="1">
      <alignment horizontal="right"/>
    </xf>
    <xf numFmtId="0" fontId="18" fillId="0" borderId="22" xfId="39" applyFont="1" applyBorder="1" applyAlignment="1">
      <alignment horizontal="right"/>
    </xf>
    <xf numFmtId="9" fontId="18" fillId="4" borderId="1" xfId="39" applyNumberFormat="1" applyFont="1" applyFill="1" applyBorder="1"/>
    <xf numFmtId="0" fontId="18" fillId="0" borderId="1" xfId="39" applyFont="1" applyBorder="1" applyAlignment="1">
      <alignment horizontal="right"/>
    </xf>
    <xf numFmtId="9" fontId="18" fillId="4" borderId="16" xfId="41" applyFont="1" applyFill="1" applyBorder="1" applyAlignment="1">
      <alignment horizontal="center"/>
    </xf>
    <xf numFmtId="164" fontId="21" fillId="5" borderId="16" xfId="46" applyNumberFormat="1" applyBorder="1"/>
    <xf numFmtId="166" fontId="20" fillId="6" borderId="29" xfId="45" applyNumberFormat="1" applyFont="1" applyFill="1" applyBorder="1"/>
    <xf numFmtId="166" fontId="20" fillId="6" borderId="28" xfId="45" applyNumberFormat="1" applyFont="1" applyFill="1" applyBorder="1"/>
    <xf numFmtId="164" fontId="20" fillId="6" borderId="16" xfId="39" applyNumberFormat="1" applyFont="1" applyFill="1" applyBorder="1"/>
    <xf numFmtId="164" fontId="18" fillId="6" borderId="4" xfId="39" applyNumberFormat="1" applyFont="1" applyFill="1" applyBorder="1"/>
    <xf numFmtId="164" fontId="20" fillId="6" borderId="7" xfId="39" applyNumberFormat="1" applyFont="1" applyFill="1" applyBorder="1" applyAlignment="1">
      <alignment horizontal="right"/>
    </xf>
    <xf numFmtId="166" fontId="12" fillId="6" borderId="4" xfId="45" applyNumberFormat="1" applyFont="1" applyFill="1" applyBorder="1"/>
    <xf numFmtId="3" fontId="18" fillId="6" borderId="8" xfId="39" applyNumberFormat="1" applyFont="1" applyFill="1" applyBorder="1"/>
    <xf numFmtId="3" fontId="18" fillId="6" borderId="21" xfId="39" applyNumberFormat="1" applyFont="1" applyFill="1" applyBorder="1"/>
    <xf numFmtId="3" fontId="18" fillId="6" borderId="24" xfId="39" applyNumberFormat="1" applyFont="1" applyFill="1" applyBorder="1"/>
    <xf numFmtId="3" fontId="20" fillId="6" borderId="1" xfId="39" applyNumberFormat="1" applyFont="1" applyFill="1" applyBorder="1"/>
    <xf numFmtId="166" fontId="18" fillId="6" borderId="18" xfId="45" applyNumberFormat="1" applyFont="1" applyFill="1" applyBorder="1"/>
    <xf numFmtId="37" fontId="18" fillId="6" borderId="22" xfId="39" applyNumberFormat="1" applyFont="1" applyFill="1" applyBorder="1"/>
    <xf numFmtId="166" fontId="18" fillId="6" borderId="7" xfId="45" applyNumberFormat="1" applyFont="1" applyFill="1" applyBorder="1"/>
    <xf numFmtId="166" fontId="17" fillId="6" borderId="15" xfId="45" applyNumberFormat="1" applyFont="1" applyFill="1" applyBorder="1"/>
    <xf numFmtId="164" fontId="21" fillId="6" borderId="30" xfId="46" applyNumberFormat="1" applyFill="1" applyBorder="1"/>
    <xf numFmtId="9" fontId="18" fillId="4" borderId="31" xfId="41" applyFont="1" applyFill="1" applyBorder="1" applyAlignment="1">
      <alignment horizontal="center"/>
    </xf>
    <xf numFmtId="9" fontId="18" fillId="0" borderId="32" xfId="39" applyNumberFormat="1" applyFont="1" applyBorder="1"/>
    <xf numFmtId="9" fontId="18" fillId="4" borderId="33" xfId="39" applyNumberFormat="1" applyFont="1" applyFill="1" applyBorder="1"/>
    <xf numFmtId="0" fontId="13" fillId="0" borderId="0" xfId="39" applyFont="1"/>
    <xf numFmtId="39" fontId="17" fillId="6" borderId="16" xfId="39" applyNumberFormat="1" applyFont="1" applyFill="1" applyBorder="1"/>
    <xf numFmtId="0" fontId="18" fillId="0" borderId="9" xfId="39" applyFont="1" applyBorder="1"/>
    <xf numFmtId="0" fontId="18" fillId="0" borderId="0" xfId="39" applyFont="1" applyAlignment="1">
      <alignment horizontal="right"/>
    </xf>
    <xf numFmtId="3" fontId="18" fillId="6" borderId="0" xfId="39" applyNumberFormat="1" applyFont="1" applyFill="1"/>
    <xf numFmtId="9" fontId="18" fillId="4" borderId="34" xfId="41" applyFont="1" applyFill="1" applyBorder="1" applyAlignment="1">
      <alignment horizontal="center"/>
    </xf>
    <xf numFmtId="0" fontId="22" fillId="7" borderId="11" xfId="39" applyFont="1" applyFill="1" applyBorder="1"/>
    <xf numFmtId="0" fontId="8" fillId="7" borderId="15" xfId="39" applyFill="1" applyBorder="1"/>
    <xf numFmtId="0" fontId="8" fillId="0" borderId="35" xfId="39" applyBorder="1"/>
    <xf numFmtId="3" fontId="8" fillId="0" borderId="3" xfId="39" applyNumberFormat="1" applyBorder="1"/>
    <xf numFmtId="0" fontId="8" fillId="8" borderId="36" xfId="39" applyFill="1" applyBorder="1"/>
    <xf numFmtId="0" fontId="8" fillId="0" borderId="36" xfId="39" applyBorder="1"/>
    <xf numFmtId="0" fontId="8" fillId="8" borderId="3" xfId="39" applyFill="1" applyBorder="1"/>
    <xf numFmtId="0" fontId="22" fillId="7" borderId="36" xfId="39" applyFont="1" applyFill="1" applyBorder="1"/>
    <xf numFmtId="0" fontId="23" fillId="7" borderId="3" xfId="39" applyFont="1" applyFill="1" applyBorder="1"/>
    <xf numFmtId="0" fontId="24" fillId="8" borderId="36" xfId="39" applyFont="1" applyFill="1" applyBorder="1"/>
    <xf numFmtId="3" fontId="24" fillId="0" borderId="3" xfId="39" applyNumberFormat="1" applyFont="1" applyBorder="1"/>
    <xf numFmtId="3" fontId="8" fillId="8" borderId="3" xfId="39" applyNumberFormat="1" applyFill="1" applyBorder="1"/>
    <xf numFmtId="10" fontId="8" fillId="8" borderId="3" xfId="39" applyNumberFormat="1" applyFill="1" applyBorder="1"/>
    <xf numFmtId="0" fontId="8" fillId="8" borderId="9" xfId="39" applyFill="1" applyBorder="1"/>
    <xf numFmtId="10" fontId="8" fillId="8" borderId="37" xfId="39" applyNumberFormat="1" applyFill="1" applyBorder="1" applyAlignment="1">
      <alignment horizontal="right"/>
    </xf>
    <xf numFmtId="0" fontId="8" fillId="0" borderId="38" xfId="39" applyBorder="1"/>
    <xf numFmtId="39" fontId="8" fillId="0" borderId="7" xfId="39" applyNumberFormat="1" applyBorder="1"/>
    <xf numFmtId="0" fontId="25" fillId="0" borderId="0" xfId="47"/>
    <xf numFmtId="0" fontId="25" fillId="0" borderId="39" xfId="47" applyBorder="1"/>
    <xf numFmtId="0" fontId="25" fillId="0" borderId="8" xfId="47" applyBorder="1"/>
    <xf numFmtId="0" fontId="19" fillId="0" borderId="41" xfId="47" applyFont="1" applyBorder="1"/>
    <xf numFmtId="0" fontId="25" fillId="0" borderId="42" xfId="47" applyBorder="1"/>
    <xf numFmtId="0" fontId="19" fillId="0" borderId="44" xfId="47" applyFont="1" applyBorder="1"/>
    <xf numFmtId="0" fontId="19" fillId="0" borderId="42" xfId="47" applyFont="1" applyBorder="1"/>
    <xf numFmtId="0" fontId="25" fillId="0" borderId="44" xfId="47" applyBorder="1"/>
    <xf numFmtId="0" fontId="19" fillId="0" borderId="39" xfId="47" applyFont="1" applyBorder="1" applyAlignment="1">
      <alignment horizontal="center"/>
    </xf>
    <xf numFmtId="10" fontId="19" fillId="0" borderId="40" xfId="47" applyNumberFormat="1" applyFont="1" applyBorder="1" applyAlignment="1">
      <alignment horizontal="center"/>
    </xf>
    <xf numFmtId="0" fontId="25" fillId="0" borderId="41" xfId="47" applyBorder="1"/>
    <xf numFmtId="0" fontId="25" fillId="0" borderId="45" xfId="47" applyBorder="1"/>
    <xf numFmtId="0" fontId="25" fillId="0" borderId="46" xfId="47" applyBorder="1"/>
    <xf numFmtId="0" fontId="26" fillId="0" borderId="47" xfId="47" applyFont="1" applyBorder="1"/>
    <xf numFmtId="6" fontId="25" fillId="0" borderId="39" xfId="47" applyNumberFormat="1" applyBorder="1"/>
    <xf numFmtId="0" fontId="19" fillId="0" borderId="8" xfId="47" applyFont="1" applyBorder="1"/>
    <xf numFmtId="0" fontId="19" fillId="0" borderId="0" xfId="47" applyFont="1"/>
    <xf numFmtId="6" fontId="25" fillId="0" borderId="42" xfId="47" applyNumberFormat="1" applyBorder="1"/>
    <xf numFmtId="0" fontId="19" fillId="0" borderId="40" xfId="47" applyFont="1" applyBorder="1"/>
    <xf numFmtId="9" fontId="25" fillId="0" borderId="42" xfId="47" applyNumberFormat="1" applyBorder="1"/>
    <xf numFmtId="9" fontId="25" fillId="9" borderId="43" xfId="47" applyNumberFormat="1" applyFill="1" applyBorder="1"/>
    <xf numFmtId="9" fontId="25" fillId="0" borderId="49" xfId="47" applyNumberFormat="1" applyBorder="1"/>
    <xf numFmtId="0" fontId="25" fillId="0" borderId="50" xfId="47" applyBorder="1"/>
    <xf numFmtId="0" fontId="25" fillId="0" borderId="51" xfId="47" applyBorder="1"/>
    <xf numFmtId="0" fontId="19" fillId="0" borderId="39" xfId="47" applyFont="1" applyBorder="1"/>
    <xf numFmtId="167" fontId="25" fillId="0" borderId="8" xfId="47" applyNumberFormat="1" applyBorder="1"/>
    <xf numFmtId="166" fontId="25" fillId="0" borderId="39" xfId="47" applyNumberFormat="1" applyBorder="1"/>
    <xf numFmtId="166" fontId="25" fillId="0" borderId="8" xfId="47" applyNumberFormat="1" applyBorder="1"/>
    <xf numFmtId="0" fontId="25" fillId="0" borderId="41" xfId="47" applyBorder="1" applyAlignment="1">
      <alignment horizontal="center"/>
    </xf>
    <xf numFmtId="166" fontId="25" fillId="0" borderId="42" xfId="47" applyNumberFormat="1" applyBorder="1"/>
    <xf numFmtId="166" fontId="25" fillId="0" borderId="0" xfId="47" applyNumberFormat="1"/>
    <xf numFmtId="0" fontId="25" fillId="0" borderId="44" xfId="47" applyBorder="1" applyAlignment="1">
      <alignment horizontal="center"/>
    </xf>
    <xf numFmtId="166" fontId="25" fillId="0" borderId="49" xfId="47" applyNumberFormat="1" applyBorder="1"/>
    <xf numFmtId="0" fontId="25" fillId="0" borderId="51" xfId="47" applyBorder="1" applyAlignment="1">
      <alignment horizontal="center"/>
    </xf>
    <xf numFmtId="0" fontId="25" fillId="0" borderId="49" xfId="47" applyBorder="1"/>
    <xf numFmtId="0" fontId="19" fillId="0" borderId="51" xfId="47" applyFont="1" applyBorder="1"/>
    <xf numFmtId="0" fontId="19" fillId="0" borderId="45" xfId="47" applyFont="1" applyBorder="1" applyAlignment="1">
      <alignment horizontal="center"/>
    </xf>
    <xf numFmtId="0" fontId="19" fillId="0" borderId="46" xfId="47" applyFont="1" applyBorder="1" applyAlignment="1">
      <alignment horizontal="center"/>
    </xf>
    <xf numFmtId="0" fontId="19" fillId="0" borderId="47" xfId="47" applyFont="1" applyBorder="1" applyAlignment="1">
      <alignment horizontal="center"/>
    </xf>
    <xf numFmtId="0" fontId="19" fillId="0" borderId="48" xfId="47" applyFont="1" applyBorder="1"/>
    <xf numFmtId="0" fontId="19" fillId="0" borderId="43" xfId="47" applyFont="1" applyBorder="1"/>
    <xf numFmtId="0" fontId="19" fillId="0" borderId="16" xfId="47" applyFont="1" applyBorder="1" applyAlignment="1">
      <alignment horizontal="center"/>
    </xf>
    <xf numFmtId="0" fontId="26" fillId="0" borderId="16" xfId="47" applyFont="1" applyBorder="1"/>
    <xf numFmtId="166" fontId="0" fillId="0" borderId="8" xfId="49" applyNumberFormat="1" applyFont="1" applyBorder="1"/>
    <xf numFmtId="168" fontId="25" fillId="9" borderId="16" xfId="47" applyNumberFormat="1" applyFill="1" applyBorder="1" applyAlignment="1">
      <alignment horizontal="center"/>
    </xf>
    <xf numFmtId="166" fontId="0" fillId="0" borderId="42" xfId="49" applyNumberFormat="1" applyFont="1" applyBorder="1"/>
    <xf numFmtId="166" fontId="0" fillId="0" borderId="0" xfId="49" applyNumberFormat="1" applyFont="1"/>
    <xf numFmtId="8" fontId="25" fillId="0" borderId="0" xfId="47" applyNumberFormat="1"/>
    <xf numFmtId="0" fontId="19" fillId="0" borderId="0" xfId="47" applyFont="1" applyAlignment="1">
      <alignment horizontal="center"/>
    </xf>
    <xf numFmtId="164" fontId="25" fillId="0" borderId="0" xfId="47" applyNumberFormat="1"/>
    <xf numFmtId="164" fontId="25" fillId="0" borderId="44" xfId="47" applyNumberFormat="1" applyBorder="1"/>
    <xf numFmtId="6" fontId="12" fillId="0" borderId="0" xfId="39" applyNumberFormat="1" applyFont="1"/>
    <xf numFmtId="166" fontId="0" fillId="0" borderId="49" xfId="49" applyNumberFormat="1" applyFont="1" applyBorder="1"/>
    <xf numFmtId="166" fontId="0" fillId="0" borderId="50" xfId="49" applyNumberFormat="1" applyFont="1" applyBorder="1"/>
    <xf numFmtId="0" fontId="19" fillId="0" borderId="50" xfId="47" applyFont="1" applyBorder="1" applyAlignment="1">
      <alignment horizontal="center"/>
    </xf>
    <xf numFmtId="8" fontId="25" fillId="0" borderId="50" xfId="47" applyNumberFormat="1" applyBorder="1"/>
    <xf numFmtId="164" fontId="25" fillId="0" borderId="51" xfId="47" applyNumberFormat="1" applyBorder="1"/>
    <xf numFmtId="0" fontId="25" fillId="0" borderId="40" xfId="47" applyBorder="1" applyAlignment="1">
      <alignment horizontal="center"/>
    </xf>
    <xf numFmtId="0" fontId="19" fillId="0" borderId="40" xfId="47" applyFont="1" applyBorder="1" applyAlignment="1">
      <alignment horizontal="center"/>
    </xf>
    <xf numFmtId="0" fontId="26" fillId="0" borderId="40" xfId="47" applyFont="1" applyBorder="1"/>
    <xf numFmtId="0" fontId="25" fillId="0" borderId="43" xfId="47" applyBorder="1"/>
    <xf numFmtId="0" fontId="25" fillId="0" borderId="43" xfId="47" applyBorder="1" applyAlignment="1">
      <alignment horizontal="center"/>
    </xf>
    <xf numFmtId="0" fontId="19" fillId="0" borderId="43" xfId="47" applyFont="1" applyBorder="1" applyAlignment="1">
      <alignment horizontal="center"/>
    </xf>
    <xf numFmtId="0" fontId="26" fillId="0" borderId="0" xfId="47" applyFont="1"/>
    <xf numFmtId="6" fontId="25" fillId="0" borderId="0" xfId="47" applyNumberFormat="1"/>
    <xf numFmtId="164" fontId="25" fillId="10" borderId="43" xfId="47" applyNumberFormat="1" applyFill="1" applyBorder="1"/>
    <xf numFmtId="0" fontId="19" fillId="11" borderId="40" xfId="47" applyFont="1" applyFill="1" applyBorder="1" applyAlignment="1">
      <alignment horizontal="center"/>
    </xf>
    <xf numFmtId="0" fontId="19" fillId="12" borderId="40" xfId="47" applyFont="1" applyFill="1" applyBorder="1" applyAlignment="1">
      <alignment horizontal="center"/>
    </xf>
    <xf numFmtId="0" fontId="19" fillId="13" borderId="40" xfId="47" applyFont="1" applyFill="1" applyBorder="1" applyAlignment="1">
      <alignment horizontal="center"/>
    </xf>
    <xf numFmtId="0" fontId="19" fillId="14" borderId="40" xfId="47" applyFont="1" applyFill="1" applyBorder="1" applyAlignment="1">
      <alignment horizontal="center"/>
    </xf>
    <xf numFmtId="0" fontId="25" fillId="12" borderId="43" xfId="47" applyFill="1" applyBorder="1" applyAlignment="1">
      <alignment horizontal="center"/>
    </xf>
    <xf numFmtId="0" fontId="25" fillId="13" borderId="43" xfId="47" applyFill="1" applyBorder="1" applyAlignment="1">
      <alignment horizontal="center"/>
    </xf>
    <xf numFmtId="0" fontId="19" fillId="14" borderId="43" xfId="47" applyFont="1" applyFill="1" applyBorder="1" applyAlignment="1">
      <alignment horizontal="center"/>
    </xf>
    <xf numFmtId="3" fontId="19" fillId="0" borderId="0" xfId="47" applyNumberFormat="1" applyFont="1"/>
    <xf numFmtId="165" fontId="0" fillId="0" borderId="16" xfId="42" applyNumberFormat="1" applyFont="1" applyBorder="1"/>
    <xf numFmtId="0" fontId="19" fillId="11" borderId="0" xfId="47" applyFont="1" applyFill="1"/>
    <xf numFmtId="0" fontId="25" fillId="10" borderId="16" xfId="47" applyFill="1" applyBorder="1"/>
    <xf numFmtId="0" fontId="19" fillId="12" borderId="0" xfId="47" applyFont="1" applyFill="1"/>
    <xf numFmtId="165" fontId="0" fillId="12" borderId="16" xfId="42" applyNumberFormat="1" applyFont="1" applyFill="1" applyBorder="1"/>
    <xf numFmtId="0" fontId="19" fillId="14" borderId="0" xfId="47" applyFont="1" applyFill="1"/>
    <xf numFmtId="165" fontId="0" fillId="11" borderId="16" xfId="42" applyNumberFormat="1" applyFont="1" applyFill="1" applyBorder="1"/>
    <xf numFmtId="8" fontId="25" fillId="9" borderId="43" xfId="47" applyNumberFormat="1" applyFill="1" applyBorder="1"/>
    <xf numFmtId="0" fontId="25" fillId="13" borderId="16" xfId="47" applyFill="1" applyBorder="1"/>
    <xf numFmtId="0" fontId="25" fillId="0" borderId="40" xfId="47" applyBorder="1"/>
    <xf numFmtId="0" fontId="26" fillId="0" borderId="41" xfId="47" applyFont="1" applyBorder="1"/>
    <xf numFmtId="0" fontId="25" fillId="14" borderId="16" xfId="47" applyFill="1" applyBorder="1"/>
    <xf numFmtId="0" fontId="25" fillId="0" borderId="1" xfId="47" applyBorder="1"/>
    <xf numFmtId="0" fontId="19" fillId="0" borderId="1" xfId="47" applyFont="1" applyBorder="1"/>
    <xf numFmtId="0" fontId="20" fillId="0" borderId="1" xfId="47" applyFont="1" applyBorder="1"/>
    <xf numFmtId="14" fontId="20" fillId="0" borderId="0" xfId="47" applyNumberFormat="1" applyFont="1" applyAlignment="1">
      <alignment horizontal="right"/>
    </xf>
    <xf numFmtId="0" fontId="20" fillId="0" borderId="0" xfId="47" applyFont="1"/>
    <xf numFmtId="164" fontId="14" fillId="0" borderId="0" xfId="40" applyNumberFormat="1" applyFont="1"/>
    <xf numFmtId="0" fontId="16" fillId="0" borderId="0" xfId="39" applyFont="1"/>
    <xf numFmtId="0" fontId="8" fillId="0" borderId="0" xfId="39"/>
    <xf numFmtId="6" fontId="12" fillId="0" borderId="5" xfId="39" applyNumberFormat="1" applyFont="1" applyBorder="1"/>
    <xf numFmtId="166" fontId="20" fillId="6" borderId="52" xfId="45" applyNumberFormat="1" applyFont="1" applyFill="1" applyBorder="1"/>
    <xf numFmtId="0" fontId="16" fillId="0" borderId="10" xfId="39" applyFont="1" applyBorder="1" applyAlignment="1">
      <alignment horizontal="left"/>
    </xf>
    <xf numFmtId="166" fontId="25" fillId="0" borderId="16" xfId="47" applyNumberFormat="1" applyBorder="1"/>
    <xf numFmtId="44" fontId="0" fillId="0" borderId="16" xfId="49" applyFont="1" applyBorder="1"/>
    <xf numFmtId="0" fontId="30" fillId="0" borderId="0" xfId="50" applyFont="1"/>
    <xf numFmtId="0" fontId="7" fillId="0" borderId="0" xfId="50"/>
    <xf numFmtId="0" fontId="29" fillId="0" borderId="0" xfId="50" applyFont="1"/>
    <xf numFmtId="0" fontId="31" fillId="0" borderId="0" xfId="50" applyFont="1"/>
    <xf numFmtId="3" fontId="7" fillId="0" borderId="0" xfId="50" applyNumberFormat="1"/>
    <xf numFmtId="0" fontId="8" fillId="0" borderId="0" xfId="50" applyFont="1" applyAlignment="1">
      <alignment horizontal="right"/>
    </xf>
    <xf numFmtId="169" fontId="32" fillId="0" borderId="0" xfId="50" applyNumberFormat="1" applyFont="1"/>
    <xf numFmtId="3" fontId="29" fillId="0" borderId="5" xfId="50" applyNumberFormat="1" applyFont="1" applyBorder="1"/>
    <xf numFmtId="169" fontId="29" fillId="0" borderId="0" xfId="50" applyNumberFormat="1" applyFont="1"/>
    <xf numFmtId="0" fontId="8" fillId="0" borderId="0" xfId="50" applyFont="1"/>
    <xf numFmtId="0" fontId="29" fillId="0" borderId="0" xfId="50" applyFont="1" applyAlignment="1">
      <alignment vertical="center"/>
    </xf>
    <xf numFmtId="0" fontId="33" fillId="0" borderId="0" xfId="50" applyFont="1"/>
    <xf numFmtId="0" fontId="34" fillId="0" borderId="0" xfId="50" applyFont="1"/>
    <xf numFmtId="3" fontId="31" fillId="0" borderId="0" xfId="50" applyNumberFormat="1" applyFont="1"/>
    <xf numFmtId="3" fontId="31" fillId="0" borderId="12" xfId="50" applyNumberFormat="1" applyFont="1" applyBorder="1"/>
    <xf numFmtId="9" fontId="7" fillId="0" borderId="0" xfId="50" applyNumberFormat="1"/>
    <xf numFmtId="3" fontId="7" fillId="0" borderId="0" xfId="50" applyNumberFormat="1" applyAlignment="1">
      <alignment horizontal="right"/>
    </xf>
    <xf numFmtId="6" fontId="7" fillId="0" borderId="0" xfId="50" applyNumberFormat="1"/>
    <xf numFmtId="0" fontId="35" fillId="0" borderId="0" xfId="50" applyFont="1"/>
    <xf numFmtId="3" fontId="35" fillId="0" borderId="0" xfId="50" applyNumberFormat="1" applyFont="1"/>
    <xf numFmtId="3" fontId="30" fillId="0" borderId="53" xfId="50" applyNumberFormat="1" applyFont="1" applyBorder="1"/>
    <xf numFmtId="3" fontId="30" fillId="0" borderId="0" xfId="50" applyNumberFormat="1" applyFont="1"/>
    <xf numFmtId="0" fontId="30" fillId="0" borderId="0" xfId="50" applyFont="1" applyAlignment="1">
      <alignment wrapText="1"/>
    </xf>
    <xf numFmtId="3" fontId="29" fillId="0" borderId="0" xfId="50" applyNumberFormat="1" applyFont="1"/>
    <xf numFmtId="0" fontId="31" fillId="0" borderId="0" xfId="0" applyFont="1"/>
    <xf numFmtId="0" fontId="0" fillId="0" borderId="0" xfId="0" applyAlignment="1">
      <alignment horizontal="center"/>
    </xf>
    <xf numFmtId="3" fontId="0" fillId="0" borderId="5" xfId="0" applyNumberFormat="1" applyBorder="1"/>
    <xf numFmtId="38" fontId="7" fillId="0" borderId="0" xfId="50" applyNumberFormat="1"/>
    <xf numFmtId="0" fontId="30" fillId="0" borderId="14" xfId="50" applyFont="1" applyBorder="1"/>
    <xf numFmtId="0" fontId="30" fillId="0" borderId="13" xfId="50" applyFont="1" applyBorder="1"/>
    <xf numFmtId="0" fontId="30" fillId="0" borderId="15" xfId="50" applyFont="1" applyBorder="1" applyAlignment="1">
      <alignment wrapText="1"/>
    </xf>
    <xf numFmtId="6" fontId="29" fillId="0" borderId="0" xfId="50" applyNumberFormat="1" applyFont="1"/>
    <xf numFmtId="0" fontId="36" fillId="0" borderId="0" xfId="39" applyFont="1"/>
    <xf numFmtId="3" fontId="31" fillId="0" borderId="5" xfId="50" applyNumberFormat="1" applyFont="1" applyBorder="1"/>
    <xf numFmtId="169" fontId="30" fillId="0" borderId="12" xfId="50" applyNumberFormat="1" applyFont="1" applyBorder="1"/>
    <xf numFmtId="169" fontId="7" fillId="0" borderId="0" xfId="50" applyNumberFormat="1"/>
    <xf numFmtId="8" fontId="0" fillId="0" borderId="0" xfId="0" applyNumberFormat="1"/>
    <xf numFmtId="10" fontId="0" fillId="0" borderId="0" xfId="0" applyNumberFormat="1"/>
    <xf numFmtId="6" fontId="0" fillId="0" borderId="0" xfId="0" applyNumberFormat="1"/>
    <xf numFmtId="0" fontId="16" fillId="0" borderId="0" xfId="0" applyFont="1" applyAlignment="1">
      <alignment horizontal="right"/>
    </xf>
    <xf numFmtId="3" fontId="0" fillId="0" borderId="0" xfId="0" applyNumberFormat="1"/>
    <xf numFmtId="0" fontId="6" fillId="0" borderId="0" xfId="50" applyFont="1"/>
    <xf numFmtId="8" fontId="6" fillId="0" borderId="0" xfId="50" applyNumberFormat="1" applyFont="1"/>
    <xf numFmtId="0" fontId="31" fillId="0" borderId="0" xfId="50" applyFont="1" applyAlignment="1">
      <alignment horizontal="center"/>
    </xf>
    <xf numFmtId="0" fontId="29" fillId="0" borderId="0" xfId="50" applyFont="1" applyAlignment="1">
      <alignment horizontal="center"/>
    </xf>
    <xf numFmtId="6" fontId="7" fillId="0" borderId="5" xfId="50" applyNumberFormat="1" applyBorder="1"/>
    <xf numFmtId="0" fontId="37" fillId="0" borderId="0" xfId="50" applyFont="1"/>
    <xf numFmtId="169" fontId="6" fillId="0" borderId="5" xfId="50" applyNumberFormat="1" applyFont="1" applyBorder="1"/>
    <xf numFmtId="3" fontId="6" fillId="0" borderId="0" xfId="50" applyNumberFormat="1" applyFont="1"/>
    <xf numFmtId="0" fontId="5" fillId="0" borderId="0" xfId="50" applyFont="1"/>
    <xf numFmtId="3" fontId="31" fillId="0" borderId="0" xfId="0" applyNumberFormat="1" applyFont="1"/>
    <xf numFmtId="3" fontId="4" fillId="0" borderId="0" xfId="50" applyNumberFormat="1" applyFont="1" applyAlignment="1">
      <alignment horizontal="center"/>
    </xf>
    <xf numFmtId="0" fontId="7" fillId="0" borderId="0" xfId="50" applyAlignment="1">
      <alignment horizontal="center"/>
    </xf>
    <xf numFmtId="3" fontId="7" fillId="0" borderId="0" xfId="50" applyNumberFormat="1" applyAlignment="1">
      <alignment horizontal="center"/>
    </xf>
    <xf numFmtId="3" fontId="8" fillId="0" borderId="0" xfId="50" applyNumberFormat="1" applyFont="1"/>
    <xf numFmtId="4" fontId="8" fillId="0" borderId="0" xfId="50" applyNumberFormat="1" applyFont="1"/>
    <xf numFmtId="3" fontId="8" fillId="0" borderId="5" xfId="50" applyNumberFormat="1" applyFont="1" applyBorder="1"/>
    <xf numFmtId="0" fontId="38" fillId="0" borderId="0" xfId="51"/>
    <xf numFmtId="10" fontId="38" fillId="0" borderId="0" xfId="51" applyNumberFormat="1"/>
    <xf numFmtId="43" fontId="0" fillId="0" borderId="0" xfId="48" applyFont="1"/>
    <xf numFmtId="166" fontId="38" fillId="0" borderId="54" xfId="51" applyNumberFormat="1" applyBorder="1"/>
    <xf numFmtId="166" fontId="38" fillId="0" borderId="8" xfId="51" applyNumberFormat="1" applyBorder="1"/>
    <xf numFmtId="166" fontId="38" fillId="0" borderId="0" xfId="51" applyNumberFormat="1"/>
    <xf numFmtId="0" fontId="19" fillId="0" borderId="0" xfId="51" applyFont="1"/>
    <xf numFmtId="0" fontId="26" fillId="0" borderId="0" xfId="51" applyFont="1"/>
    <xf numFmtId="10" fontId="0" fillId="0" borderId="0" xfId="42" applyNumberFormat="1" applyFont="1" applyBorder="1"/>
    <xf numFmtId="6" fontId="38" fillId="0" borderId="0" xfId="51" applyNumberFormat="1"/>
    <xf numFmtId="0" fontId="38" fillId="0" borderId="8" xfId="51" applyBorder="1" applyAlignment="1">
      <alignment horizontal="center"/>
    </xf>
    <xf numFmtId="0" fontId="38" fillId="0" borderId="1" xfId="51" applyBorder="1"/>
    <xf numFmtId="0" fontId="19" fillId="0" borderId="1" xfId="51" applyFont="1" applyBorder="1"/>
    <xf numFmtId="0" fontId="20" fillId="0" borderId="1" xfId="51" applyFont="1" applyBorder="1"/>
    <xf numFmtId="0" fontId="20" fillId="0" borderId="0" xfId="51" applyFont="1"/>
    <xf numFmtId="164" fontId="18" fillId="6" borderId="12" xfId="39" applyNumberFormat="1" applyFont="1" applyFill="1" applyBorder="1"/>
    <xf numFmtId="170" fontId="38" fillId="0" borderId="0" xfId="51" applyNumberFormat="1"/>
    <xf numFmtId="165" fontId="0" fillId="0" borderId="0" xfId="42" applyNumberFormat="1" applyFont="1"/>
    <xf numFmtId="166" fontId="0" fillId="0" borderId="55" xfId="49" applyNumberFormat="1" applyFont="1" applyBorder="1"/>
    <xf numFmtId="166" fontId="0" fillId="9" borderId="8" xfId="49" applyNumberFormat="1" applyFont="1" applyFill="1" applyBorder="1"/>
    <xf numFmtId="9" fontId="38" fillId="0" borderId="0" xfId="51" applyNumberFormat="1"/>
    <xf numFmtId="0" fontId="19" fillId="0" borderId="8" xfId="51" applyFont="1" applyBorder="1" applyAlignment="1">
      <alignment horizontal="center"/>
    </xf>
    <xf numFmtId="2" fontId="38" fillId="0" borderId="0" xfId="51" applyNumberFormat="1"/>
    <xf numFmtId="2" fontId="19" fillId="0" borderId="0" xfId="51" applyNumberFormat="1" applyFont="1" applyAlignment="1">
      <alignment horizontal="center"/>
    </xf>
    <xf numFmtId="0" fontId="19" fillId="0" borderId="0" xfId="52"/>
    <xf numFmtId="10" fontId="19" fillId="0" borderId="0" xfId="52" applyNumberFormat="1"/>
    <xf numFmtId="166" fontId="19" fillId="0" borderId="54" xfId="52" applyNumberFormat="1" applyBorder="1"/>
    <xf numFmtId="166" fontId="19" fillId="0" borderId="8" xfId="52" applyNumberFormat="1" applyBorder="1"/>
    <xf numFmtId="166" fontId="19" fillId="0" borderId="0" xfId="52" applyNumberFormat="1"/>
    <xf numFmtId="0" fontId="26" fillId="0" borderId="0" xfId="52" applyFont="1"/>
    <xf numFmtId="9" fontId="19" fillId="0" borderId="8" xfId="52" applyNumberFormat="1" applyBorder="1"/>
    <xf numFmtId="10" fontId="19" fillId="0" borderId="8" xfId="52" applyNumberFormat="1" applyBorder="1"/>
    <xf numFmtId="0" fontId="19" fillId="0" borderId="1" xfId="52" applyBorder="1"/>
    <xf numFmtId="0" fontId="20" fillId="0" borderId="1" xfId="52" applyFont="1" applyBorder="1"/>
    <xf numFmtId="0" fontId="20" fillId="0" borderId="0" xfId="52" applyFont="1"/>
    <xf numFmtId="0" fontId="19" fillId="0" borderId="11" xfId="51" applyFont="1" applyBorder="1"/>
    <xf numFmtId="5" fontId="38" fillId="0" borderId="6" xfId="51" applyNumberFormat="1" applyBorder="1"/>
    <xf numFmtId="0" fontId="38" fillId="0" borderId="2" xfId="51" applyBorder="1"/>
    <xf numFmtId="10" fontId="38" fillId="0" borderId="7" xfId="51" applyNumberFormat="1" applyBorder="1"/>
    <xf numFmtId="0" fontId="38" fillId="0" borderId="11" xfId="51" applyBorder="1"/>
    <xf numFmtId="0" fontId="38" fillId="0" borderId="14" xfId="51" applyBorder="1"/>
    <xf numFmtId="10" fontId="38" fillId="0" borderId="15" xfId="51" applyNumberFormat="1" applyBorder="1"/>
    <xf numFmtId="0" fontId="16" fillId="0" borderId="56" xfId="39" applyFont="1" applyBorder="1" applyAlignment="1">
      <alignment horizontal="left"/>
    </xf>
    <xf numFmtId="164" fontId="18" fillId="6" borderId="57" xfId="39" applyNumberFormat="1" applyFont="1" applyFill="1" applyBorder="1"/>
    <xf numFmtId="164" fontId="18" fillId="6" borderId="57" xfId="39" applyNumberFormat="1" applyFont="1" applyFill="1" applyBorder="1" applyAlignment="1">
      <alignment horizontal="right"/>
    </xf>
    <xf numFmtId="164" fontId="18" fillId="6" borderId="59" xfId="39" applyNumberFormat="1" applyFont="1" applyFill="1" applyBorder="1" applyAlignment="1">
      <alignment horizontal="right"/>
    </xf>
    <xf numFmtId="166" fontId="20" fillId="6" borderId="3" xfId="45" applyNumberFormat="1" applyFont="1" applyFill="1" applyBorder="1"/>
    <xf numFmtId="0" fontId="3" fillId="0" borderId="0" xfId="50" applyFont="1"/>
    <xf numFmtId="9" fontId="18" fillId="4" borderId="32" xfId="39" applyNumberFormat="1" applyFont="1" applyFill="1" applyBorder="1"/>
    <xf numFmtId="171" fontId="19" fillId="11" borderId="40" xfId="47" applyNumberFormat="1" applyFont="1" applyFill="1" applyBorder="1" applyAlignment="1">
      <alignment horizontal="center"/>
    </xf>
    <xf numFmtId="6" fontId="19" fillId="16" borderId="0" xfId="47" applyNumberFormat="1" applyFont="1" applyFill="1" applyAlignment="1">
      <alignment horizontal="center"/>
    </xf>
    <xf numFmtId="6" fontId="25" fillId="16" borderId="0" xfId="47" applyNumberFormat="1" applyFill="1" applyAlignment="1">
      <alignment horizontal="center"/>
    </xf>
    <xf numFmtId="6" fontId="25" fillId="16" borderId="43" xfId="47" applyNumberFormat="1" applyFill="1" applyBorder="1"/>
    <xf numFmtId="6" fontId="25" fillId="16" borderId="48" xfId="47" applyNumberFormat="1" applyFill="1" applyBorder="1"/>
    <xf numFmtId="8" fontId="25" fillId="16" borderId="43" xfId="47" applyNumberFormat="1" applyFill="1" applyBorder="1"/>
    <xf numFmtId="8" fontId="25" fillId="16" borderId="48" xfId="47" applyNumberFormat="1" applyFill="1" applyBorder="1"/>
    <xf numFmtId="8" fontId="25" fillId="6" borderId="48" xfId="47" applyNumberFormat="1" applyFill="1" applyBorder="1"/>
    <xf numFmtId="3" fontId="0" fillId="6" borderId="16" xfId="49" applyNumberFormat="1" applyFont="1" applyFill="1" applyBorder="1"/>
    <xf numFmtId="166" fontId="19" fillId="6" borderId="0" xfId="49" applyNumberFormat="1" applyFill="1"/>
    <xf numFmtId="6" fontId="25" fillId="6" borderId="16" xfId="47" applyNumberFormat="1" applyFill="1" applyBorder="1"/>
    <xf numFmtId="164" fontId="0" fillId="16" borderId="51" xfId="48" applyNumberFormat="1" applyFont="1" applyFill="1" applyBorder="1"/>
    <xf numFmtId="164" fontId="0" fillId="16" borderId="50" xfId="48" applyNumberFormat="1" applyFont="1" applyFill="1" applyBorder="1"/>
    <xf numFmtId="164" fontId="0" fillId="16" borderId="44" xfId="48" applyNumberFormat="1" applyFont="1" applyFill="1" applyBorder="1"/>
    <xf numFmtId="164" fontId="0" fillId="16" borderId="0" xfId="48" applyNumberFormat="1" applyFont="1" applyFill="1" applyBorder="1"/>
    <xf numFmtId="164" fontId="0" fillId="16" borderId="41" xfId="48" applyNumberFormat="1" applyFont="1" applyFill="1" applyBorder="1"/>
    <xf numFmtId="164" fontId="0" fillId="16" borderId="8" xfId="48" applyNumberFormat="1" applyFont="1" applyFill="1" applyBorder="1"/>
    <xf numFmtId="9" fontId="25" fillId="16" borderId="0" xfId="47" applyNumberFormat="1" applyFill="1"/>
    <xf numFmtId="164" fontId="25" fillId="16" borderId="44" xfId="47" applyNumberFormat="1" applyFill="1" applyBorder="1"/>
    <xf numFmtId="10" fontId="25" fillId="16" borderId="48" xfId="47" applyNumberFormat="1" applyFill="1" applyBorder="1"/>
    <xf numFmtId="0" fontId="25" fillId="16" borderId="48" xfId="47" applyFill="1" applyBorder="1"/>
    <xf numFmtId="0" fontId="25" fillId="16" borderId="40" xfId="47" applyFill="1" applyBorder="1"/>
    <xf numFmtId="2" fontId="25" fillId="16" borderId="16" xfId="47" applyNumberFormat="1" applyFill="1" applyBorder="1"/>
    <xf numFmtId="9" fontId="25" fillId="16" borderId="43" xfId="47" applyNumberFormat="1" applyFill="1" applyBorder="1"/>
    <xf numFmtId="9" fontId="25" fillId="16" borderId="48" xfId="47" applyNumberFormat="1" applyFill="1" applyBorder="1"/>
    <xf numFmtId="9" fontId="25" fillId="16" borderId="40" xfId="47" applyNumberFormat="1" applyFill="1" applyBorder="1"/>
    <xf numFmtId="0" fontId="25" fillId="16" borderId="16" xfId="47" applyFill="1" applyBorder="1"/>
    <xf numFmtId="10" fontId="25" fillId="16" borderId="44" xfId="47" applyNumberFormat="1" applyFill="1" applyBorder="1"/>
    <xf numFmtId="10" fontId="25" fillId="16" borderId="41" xfId="47" applyNumberFormat="1" applyFill="1" applyBorder="1"/>
    <xf numFmtId="10" fontId="25" fillId="16" borderId="39" xfId="47" applyNumberFormat="1" applyFill="1" applyBorder="1"/>
    <xf numFmtId="10" fontId="25" fillId="16" borderId="51" xfId="47" applyNumberFormat="1" applyFill="1" applyBorder="1"/>
    <xf numFmtId="10" fontId="25" fillId="6" borderId="44" xfId="47" applyNumberFormat="1" applyFill="1" applyBorder="1"/>
    <xf numFmtId="10" fontId="19" fillId="16" borderId="49" xfId="47" applyNumberFormat="1" applyFont="1" applyFill="1" applyBorder="1" applyAlignment="1">
      <alignment horizontal="center"/>
    </xf>
    <xf numFmtId="10" fontId="19" fillId="16" borderId="42" xfId="47" applyNumberFormat="1" applyFont="1" applyFill="1" applyBorder="1" applyAlignment="1">
      <alignment horizontal="center"/>
    </xf>
    <xf numFmtId="164" fontId="0" fillId="16" borderId="48" xfId="48" applyNumberFormat="1" applyFont="1" applyFill="1" applyBorder="1"/>
    <xf numFmtId="10" fontId="25" fillId="16" borderId="16" xfId="47" applyNumberFormat="1" applyFill="1" applyBorder="1"/>
    <xf numFmtId="10" fontId="25" fillId="16" borderId="43" xfId="47" applyNumberFormat="1" applyFill="1" applyBorder="1"/>
    <xf numFmtId="10" fontId="25" fillId="16" borderId="40" xfId="47" applyNumberFormat="1" applyFill="1" applyBorder="1"/>
    <xf numFmtId="166" fontId="0" fillId="8" borderId="0" xfId="49" applyNumberFormat="1" applyFont="1" applyFill="1" applyBorder="1"/>
    <xf numFmtId="8" fontId="18" fillId="6" borderId="60" xfId="39" applyNumberFormat="1" applyFont="1" applyFill="1" applyBorder="1" applyAlignment="1">
      <alignment horizontal="right"/>
    </xf>
    <xf numFmtId="8" fontId="18" fillId="6" borderId="58" xfId="39" applyNumberFormat="1" applyFont="1" applyFill="1" applyBorder="1" applyAlignment="1">
      <alignment horizontal="right"/>
    </xf>
    <xf numFmtId="164" fontId="17" fillId="0" borderId="1" xfId="40" applyNumberFormat="1" applyFont="1" applyBorder="1"/>
    <xf numFmtId="164" fontId="39" fillId="6" borderId="7" xfId="46" applyNumberFormat="1" applyFont="1" applyFill="1" applyBorder="1" applyAlignment="1">
      <alignment horizontal="right"/>
    </xf>
    <xf numFmtId="171" fontId="19" fillId="11" borderId="48" xfId="47" applyNumberFormat="1" applyFont="1" applyFill="1" applyBorder="1" applyAlignment="1">
      <alignment horizontal="center"/>
    </xf>
    <xf numFmtId="164" fontId="25" fillId="10" borderId="16" xfId="47" applyNumberFormat="1" applyFill="1" applyBorder="1"/>
    <xf numFmtId="9" fontId="20" fillId="6" borderId="16" xfId="39" applyNumberFormat="1" applyFont="1" applyFill="1" applyBorder="1"/>
    <xf numFmtId="0" fontId="26" fillId="0" borderId="47" xfId="0" applyFont="1" applyBorder="1"/>
    <xf numFmtId="0" fontId="0" fillId="0" borderId="46" xfId="0" applyBorder="1"/>
    <xf numFmtId="0" fontId="0" fillId="0" borderId="45" xfId="0" applyBorder="1"/>
    <xf numFmtId="0" fontId="19" fillId="0" borderId="44" xfId="0" applyFont="1" applyBorder="1"/>
    <xf numFmtId="0" fontId="19" fillId="0" borderId="41" xfId="0" applyFont="1" applyBorder="1"/>
    <xf numFmtId="0" fontId="0" fillId="0" borderId="8" xfId="0" applyBorder="1"/>
    <xf numFmtId="0" fontId="8" fillId="0" borderId="44" xfId="39" applyBorder="1"/>
    <xf numFmtId="173" fontId="12" fillId="0" borderId="0" xfId="39" applyNumberFormat="1" applyFont="1" applyAlignment="1">
      <alignment horizontal="left"/>
    </xf>
    <xf numFmtId="6" fontId="12" fillId="6" borderId="0" xfId="39" applyNumberFormat="1" applyFont="1" applyFill="1"/>
    <xf numFmtId="6" fontId="12" fillId="6" borderId="0" xfId="39" applyNumberFormat="1" applyFont="1" applyFill="1" applyAlignment="1">
      <alignment horizontal="right"/>
    </xf>
    <xf numFmtId="6" fontId="12" fillId="16" borderId="0" xfId="39" applyNumberFormat="1" applyFont="1" applyFill="1"/>
    <xf numFmtId="0" fontId="12" fillId="16" borderId="0" xfId="39" applyFont="1" applyFill="1" applyAlignment="1">
      <alignment horizontal="right"/>
    </xf>
    <xf numFmtId="6" fontId="12" fillId="16" borderId="0" xfId="39" applyNumberFormat="1" applyFont="1" applyFill="1" applyAlignment="1">
      <alignment horizontal="right"/>
    </xf>
    <xf numFmtId="164" fontId="25" fillId="15" borderId="16" xfId="47" applyNumberFormat="1" applyFill="1" applyBorder="1"/>
    <xf numFmtId="0" fontId="19" fillId="13" borderId="0" xfId="47" applyFont="1" applyFill="1"/>
    <xf numFmtId="1" fontId="25" fillId="6" borderId="48" xfId="47" applyNumberFormat="1" applyFill="1" applyBorder="1" applyAlignment="1">
      <alignment horizontal="center"/>
    </xf>
    <xf numFmtId="1" fontId="8" fillId="0" borderId="3" xfId="39" applyNumberFormat="1" applyBorder="1"/>
    <xf numFmtId="10" fontId="0" fillId="16" borderId="48" xfId="0" applyNumberFormat="1" applyFill="1" applyBorder="1"/>
    <xf numFmtId="172" fontId="0" fillId="16" borderId="48" xfId="0" applyNumberFormat="1" applyFill="1" applyBorder="1"/>
    <xf numFmtId="9" fontId="0" fillId="16" borderId="48" xfId="0" applyNumberFormat="1" applyFill="1" applyBorder="1"/>
    <xf numFmtId="9" fontId="0" fillId="16" borderId="40" xfId="0" applyNumberFormat="1" applyFill="1" applyBorder="1"/>
    <xf numFmtId="164" fontId="0" fillId="16" borderId="43" xfId="0" applyNumberFormat="1" applyFill="1" applyBorder="1"/>
    <xf numFmtId="165" fontId="0" fillId="16" borderId="40" xfId="42" applyNumberFormat="1" applyFont="1" applyFill="1" applyBorder="1"/>
    <xf numFmtId="5" fontId="38" fillId="15" borderId="6" xfId="51" applyNumberFormat="1" applyFill="1" applyBorder="1"/>
    <xf numFmtId="10" fontId="38" fillId="15" borderId="7" xfId="51" applyNumberFormat="1" applyFill="1" applyBorder="1"/>
    <xf numFmtId="0" fontId="2" fillId="0" borderId="0" xfId="50" applyFont="1"/>
    <xf numFmtId="10" fontId="0" fillId="16" borderId="43" xfId="0" applyNumberFormat="1" applyFill="1" applyBorder="1"/>
    <xf numFmtId="10" fontId="12" fillId="0" borderId="0" xfId="39" applyNumberFormat="1" applyFont="1" applyAlignment="1">
      <alignment horizontal="left"/>
    </xf>
    <xf numFmtId="3" fontId="12" fillId="0" borderId="0" xfId="39" applyNumberFormat="1" applyFont="1" applyAlignment="1">
      <alignment horizontal="right"/>
    </xf>
    <xf numFmtId="6" fontId="8" fillId="0" borderId="0" xfId="50" applyNumberFormat="1" applyFont="1" applyAlignment="1">
      <alignment horizontal="right"/>
    </xf>
    <xf numFmtId="6" fontId="7" fillId="0" borderId="0" xfId="50" applyNumberFormat="1" applyAlignment="1">
      <alignment horizontal="right"/>
    </xf>
    <xf numFmtId="169" fontId="0" fillId="0" borderId="0" xfId="0" applyNumberFormat="1"/>
    <xf numFmtId="0" fontId="16" fillId="0" borderId="9" xfId="39" applyFont="1" applyBorder="1" applyAlignment="1">
      <alignment horizontal="left"/>
    </xf>
    <xf numFmtId="164" fontId="18" fillId="6" borderId="41" xfId="39" applyNumberFormat="1" applyFont="1" applyFill="1" applyBorder="1"/>
    <xf numFmtId="8" fontId="18" fillId="6" borderId="0" xfId="39" applyNumberFormat="1" applyFont="1" applyFill="1"/>
    <xf numFmtId="3" fontId="1" fillId="0" borderId="0" xfId="50" applyNumberFormat="1" applyFont="1"/>
    <xf numFmtId="0" fontId="19" fillId="0" borderId="39" xfId="47" applyFont="1" applyBorder="1" applyAlignment="1">
      <alignment horizontal="center" wrapText="1"/>
    </xf>
    <xf numFmtId="164" fontId="25" fillId="16" borderId="0" xfId="47" applyNumberFormat="1" applyFill="1"/>
    <xf numFmtId="9" fontId="25" fillId="0" borderId="48" xfId="47" applyNumberFormat="1" applyBorder="1"/>
    <xf numFmtId="168" fontId="25" fillId="9" borderId="43" xfId="47" applyNumberFormat="1" applyFill="1" applyBorder="1" applyAlignment="1">
      <alignment horizontal="center"/>
    </xf>
    <xf numFmtId="9" fontId="25" fillId="0" borderId="16" xfId="47" applyNumberFormat="1" applyBorder="1"/>
    <xf numFmtId="164" fontId="26" fillId="0" borderId="45" xfId="47" applyNumberFormat="1" applyFont="1" applyBorder="1"/>
    <xf numFmtId="166" fontId="0" fillId="0" borderId="46" xfId="49" applyNumberFormat="1" applyFont="1" applyBorder="1"/>
    <xf numFmtId="8" fontId="25" fillId="9" borderId="16" xfId="47" applyNumberFormat="1" applyFill="1" applyBorder="1"/>
    <xf numFmtId="8" fontId="25" fillId="6" borderId="40" xfId="47" applyNumberFormat="1" applyFill="1" applyBorder="1"/>
    <xf numFmtId="0" fontId="17" fillId="0" borderId="6" xfId="39" applyFont="1" applyBorder="1" applyAlignment="1">
      <alignment horizontal="center" wrapText="1"/>
    </xf>
    <xf numFmtId="0" fontId="17" fillId="0" borderId="4" xfId="39" applyFont="1" applyBorder="1" applyAlignment="1">
      <alignment horizontal="center" wrapText="1"/>
    </xf>
    <xf numFmtId="0" fontId="16" fillId="0" borderId="0" xfId="0" applyFont="1" applyAlignment="1">
      <alignment horizontal="right"/>
    </xf>
    <xf numFmtId="0" fontId="16" fillId="0" borderId="42" xfId="0" applyFont="1" applyBorder="1" applyAlignment="1">
      <alignment horizontal="right"/>
    </xf>
    <xf numFmtId="0" fontId="19" fillId="0" borderId="43" xfId="47" applyFont="1" applyBorder="1" applyAlignment="1">
      <alignment horizontal="center" vertical="center" textRotation="90" wrapText="1"/>
    </xf>
    <xf numFmtId="0" fontId="19" fillId="0" borderId="48" xfId="47" applyFont="1" applyBorder="1" applyAlignment="1">
      <alignment horizontal="center" vertical="center" textRotation="90" wrapText="1"/>
    </xf>
    <xf numFmtId="0" fontId="19" fillId="0" borderId="40" xfId="47" applyFont="1" applyBorder="1" applyAlignment="1">
      <alignment horizontal="center" vertical="center" textRotation="90" wrapText="1"/>
    </xf>
  </cellXfs>
  <cellStyles count="53">
    <cellStyle name="Bad" xfId="46" builtinId="27"/>
    <cellStyle name="Comma 2" xfId="40" xr:uid="{00000000-0005-0000-0000-000002000000}"/>
    <cellStyle name="Comma 3" xfId="48" xr:uid="{B46FAE4D-4D53-4006-AE90-DB243045C30D}"/>
    <cellStyle name="Currency" xfId="45" builtinId="4"/>
    <cellStyle name="Currency 2" xfId="49" xr:uid="{B216A72D-8CBC-4372-9F96-3E8C200476E3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3" builtinId="8" hidden="1"/>
    <cellStyle name="Normal" xfId="0" builtinId="0"/>
    <cellStyle name="Normal 2" xfId="39" xr:uid="{00000000-0005-0000-0000-00002D000000}"/>
    <cellStyle name="Normal 3" xfId="47" xr:uid="{A328B757-65EE-48AF-A94E-554E1CC2D0B3}"/>
    <cellStyle name="Normal 3 2" xfId="50" xr:uid="{18FABC03-8E18-4BE9-87FB-B9E296D026DA}"/>
    <cellStyle name="Normal 4" xfId="51" xr:uid="{3B7AF398-6D18-44C3-96D2-4DB23BA69916}"/>
    <cellStyle name="Normal 5" xfId="52" xr:uid="{567B5A08-6901-4515-BBDC-58B008D5E39E}"/>
    <cellStyle name="Percent 2" xfId="41" xr:uid="{00000000-0005-0000-0000-00002F000000}"/>
    <cellStyle name="Percent 3" xfId="42" xr:uid="{00000000-0005-0000-0000-000030000000}"/>
  </cellStyles>
  <dxfs count="0"/>
  <tableStyles count="0" defaultTableStyle="TableStyleMedium9" defaultPivotStyle="PivotStyleMedium7"/>
  <colors>
    <mruColors>
      <color rgb="FFFFDD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45262</xdr:colOff>
      <xdr:row>40</xdr:row>
      <xdr:rowOff>142432</xdr:rowOff>
    </xdr:from>
    <xdr:to>
      <xdr:col>6</xdr:col>
      <xdr:colOff>503053</xdr:colOff>
      <xdr:row>42</xdr:row>
      <xdr:rowOff>112897</xdr:rowOff>
    </xdr:to>
    <xdr:sp macro="" textlink="">
      <xdr:nvSpPr>
        <xdr:cNvPr id="2" name="Right Arrow 2">
          <a:extLst>
            <a:ext uri="{FF2B5EF4-FFF2-40B4-BE49-F238E27FC236}">
              <a16:creationId xmlns:a16="http://schemas.microsoft.com/office/drawing/2014/main" id="{35C473FA-772B-4140-87AC-FA91DF14D2F6}"/>
            </a:ext>
          </a:extLst>
        </xdr:cNvPr>
        <xdr:cNvSpPr/>
      </xdr:nvSpPr>
      <xdr:spPr>
        <a:xfrm>
          <a:off x="5474512" y="10362757"/>
          <a:ext cx="457791" cy="46576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1347107</xdr:colOff>
      <xdr:row>40</xdr:row>
      <xdr:rowOff>141915</xdr:rowOff>
    </xdr:from>
    <xdr:to>
      <xdr:col>6</xdr:col>
      <xdr:colOff>1809750</xdr:colOff>
      <xdr:row>42</xdr:row>
      <xdr:rowOff>112380</xdr:rowOff>
    </xdr:to>
    <xdr:sp macro="" textlink="">
      <xdr:nvSpPr>
        <xdr:cNvPr id="3" name="Right Arrow 3">
          <a:extLst>
            <a:ext uri="{FF2B5EF4-FFF2-40B4-BE49-F238E27FC236}">
              <a16:creationId xmlns:a16="http://schemas.microsoft.com/office/drawing/2014/main" id="{8AD95683-BE17-4158-8FF4-8539271022DB}"/>
            </a:ext>
          </a:extLst>
        </xdr:cNvPr>
        <xdr:cNvSpPr/>
      </xdr:nvSpPr>
      <xdr:spPr>
        <a:xfrm rot="10800000">
          <a:off x="6776357" y="10362240"/>
          <a:ext cx="462643" cy="46576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45262</xdr:colOff>
      <xdr:row>40</xdr:row>
      <xdr:rowOff>142432</xdr:rowOff>
    </xdr:from>
    <xdr:to>
      <xdr:col>6</xdr:col>
      <xdr:colOff>503053</xdr:colOff>
      <xdr:row>42</xdr:row>
      <xdr:rowOff>112897</xdr:rowOff>
    </xdr:to>
    <xdr:sp macro="" textlink="">
      <xdr:nvSpPr>
        <xdr:cNvPr id="2" name="Right Arrow 2">
          <a:extLst>
            <a:ext uri="{FF2B5EF4-FFF2-40B4-BE49-F238E27FC236}">
              <a16:creationId xmlns:a16="http://schemas.microsoft.com/office/drawing/2014/main" id="{DAC7B965-C252-479B-ADDD-EB4A3EBE6770}"/>
            </a:ext>
          </a:extLst>
        </xdr:cNvPr>
        <xdr:cNvSpPr/>
      </xdr:nvSpPr>
      <xdr:spPr>
        <a:xfrm>
          <a:off x="6455587" y="9991282"/>
          <a:ext cx="457791" cy="46576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1347107</xdr:colOff>
      <xdr:row>40</xdr:row>
      <xdr:rowOff>141915</xdr:rowOff>
    </xdr:from>
    <xdr:to>
      <xdr:col>6</xdr:col>
      <xdr:colOff>1809750</xdr:colOff>
      <xdr:row>42</xdr:row>
      <xdr:rowOff>112380</xdr:rowOff>
    </xdr:to>
    <xdr:sp macro="" textlink="">
      <xdr:nvSpPr>
        <xdr:cNvPr id="3" name="Right Arrow 3">
          <a:extLst>
            <a:ext uri="{FF2B5EF4-FFF2-40B4-BE49-F238E27FC236}">
              <a16:creationId xmlns:a16="http://schemas.microsoft.com/office/drawing/2014/main" id="{2C6DB110-2E87-4CE1-ADD1-9CB5A696BB35}"/>
            </a:ext>
          </a:extLst>
        </xdr:cNvPr>
        <xdr:cNvSpPr/>
      </xdr:nvSpPr>
      <xdr:spPr>
        <a:xfrm rot="10800000">
          <a:off x="7757432" y="9990765"/>
          <a:ext cx="462643" cy="46576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  <pageSetUpPr fitToPage="1"/>
  </sheetPr>
  <dimension ref="B1:P43"/>
  <sheetViews>
    <sheetView showGridLines="0" zoomScale="90" zoomScaleNormal="90" workbookViewId="0">
      <selection activeCell="I8" sqref="E8:I16"/>
    </sheetView>
  </sheetViews>
  <sheetFormatPr defaultColWidth="9.75" defaultRowHeight="15.5" x14ac:dyDescent="0.35"/>
  <cols>
    <col min="1" max="1" width="1.5" style="1" customWidth="1"/>
    <col min="2" max="2" width="6.75" style="1" customWidth="1"/>
    <col min="3" max="3" width="20.58203125" style="1" customWidth="1"/>
    <col min="4" max="4" width="14.33203125" style="2" customWidth="1"/>
    <col min="5" max="5" width="23.58203125" style="3" customWidth="1"/>
    <col min="6" max="6" width="17.25" style="6" customWidth="1"/>
    <col min="7" max="7" width="24.75" style="1" customWidth="1"/>
    <col min="8" max="8" width="16.75" style="1" customWidth="1"/>
    <col min="9" max="9" width="17.5" style="8" customWidth="1"/>
    <col min="10" max="10" width="15.75" style="1" customWidth="1"/>
    <col min="11" max="11" width="18.25" style="1" customWidth="1"/>
    <col min="12" max="12" width="10.75" style="1" customWidth="1"/>
    <col min="13" max="13" width="9.75" style="1"/>
    <col min="14" max="14" width="13.25" style="1" customWidth="1"/>
    <col min="15" max="15" width="11" style="1" customWidth="1"/>
    <col min="16" max="16" width="9.75" style="1"/>
    <col min="17" max="17" width="12" style="1" customWidth="1"/>
    <col min="18" max="16384" width="9.75" style="1"/>
  </cols>
  <sheetData>
    <row r="1" spans="2:16" ht="20" x14ac:dyDescent="0.4">
      <c r="B1" s="116" t="s">
        <v>286</v>
      </c>
      <c r="F1" s="4"/>
      <c r="I1" s="1"/>
      <c r="M1" s="5"/>
      <c r="N1" s="5"/>
      <c r="O1" s="5"/>
      <c r="P1" s="5"/>
    </row>
    <row r="2" spans="2:16" ht="16" thickBot="1" x14ac:dyDescent="0.4">
      <c r="G2" s="7"/>
    </row>
    <row r="3" spans="2:16" x14ac:dyDescent="0.35">
      <c r="B3" s="96"/>
      <c r="C3" s="1" t="s">
        <v>47</v>
      </c>
      <c r="E3" s="9" t="s">
        <v>0</v>
      </c>
      <c r="F3" s="10"/>
      <c r="G3" s="11" t="s">
        <v>11</v>
      </c>
      <c r="H3" s="10"/>
      <c r="I3" s="12"/>
      <c r="J3" s="13"/>
    </row>
    <row r="4" spans="2:16" x14ac:dyDescent="0.35">
      <c r="B4" s="97"/>
      <c r="C4" s="1" t="s">
        <v>48</v>
      </c>
      <c r="E4" s="14"/>
      <c r="F4" s="15"/>
      <c r="H4" s="16"/>
      <c r="I4" s="16"/>
      <c r="J4" s="17"/>
    </row>
    <row r="5" spans="2:16" x14ac:dyDescent="0.35">
      <c r="E5" s="18" t="s">
        <v>10</v>
      </c>
      <c r="F5" s="19" t="s">
        <v>22</v>
      </c>
      <c r="G5" s="19" t="s">
        <v>38</v>
      </c>
      <c r="H5" s="20" t="s">
        <v>12</v>
      </c>
      <c r="I5" s="20" t="s">
        <v>24</v>
      </c>
      <c r="J5" s="21" t="s">
        <v>50</v>
      </c>
    </row>
    <row r="6" spans="2:16" x14ac:dyDescent="0.35">
      <c r="E6" s="22" t="s">
        <v>9</v>
      </c>
      <c r="F6" s="23" t="s">
        <v>32</v>
      </c>
      <c r="G6" s="23" t="s">
        <v>34</v>
      </c>
      <c r="H6" s="24" t="s">
        <v>399</v>
      </c>
      <c r="I6" s="24" t="s">
        <v>25</v>
      </c>
      <c r="J6" s="25" t="s">
        <v>26</v>
      </c>
    </row>
    <row r="7" spans="2:16" x14ac:dyDescent="0.35">
      <c r="E7" s="14"/>
      <c r="F7" s="8"/>
      <c r="H7" s="5"/>
      <c r="I7" s="16"/>
      <c r="J7" s="26"/>
      <c r="O7" s="5"/>
    </row>
    <row r="8" spans="2:16" ht="16" thickBot="1" x14ac:dyDescent="0.4">
      <c r="E8" s="14">
        <v>8</v>
      </c>
      <c r="F8" s="8">
        <v>10</v>
      </c>
      <c r="G8" s="27" t="s">
        <v>27</v>
      </c>
      <c r="H8" s="5">
        <v>20700</v>
      </c>
      <c r="I8" s="113">
        <v>0.82</v>
      </c>
      <c r="J8" s="112">
        <f>H8*I8</f>
        <v>16974</v>
      </c>
      <c r="O8" s="5"/>
    </row>
    <row r="9" spans="2:16" ht="16" thickBot="1" x14ac:dyDescent="0.4">
      <c r="E9" s="14">
        <v>7</v>
      </c>
      <c r="F9" s="8">
        <v>10</v>
      </c>
      <c r="G9" s="27" t="s">
        <v>27</v>
      </c>
      <c r="H9" s="5">
        <v>20700</v>
      </c>
      <c r="I9" s="113">
        <v>0.82</v>
      </c>
      <c r="J9" s="112">
        <f t="shared" ref="J9:J16" si="0">H9*I9</f>
        <v>16974</v>
      </c>
      <c r="O9" s="5"/>
    </row>
    <row r="10" spans="2:16" ht="16" thickBot="1" x14ac:dyDescent="0.4">
      <c r="E10" s="14">
        <v>6</v>
      </c>
      <c r="F10" s="8">
        <v>10</v>
      </c>
      <c r="G10" s="27" t="s">
        <v>27</v>
      </c>
      <c r="H10" s="5">
        <v>20700</v>
      </c>
      <c r="I10" s="113">
        <v>0.82</v>
      </c>
      <c r="J10" s="112">
        <f t="shared" si="0"/>
        <v>16974</v>
      </c>
      <c r="O10" s="5"/>
    </row>
    <row r="11" spans="2:16" ht="16" thickBot="1" x14ac:dyDescent="0.4">
      <c r="E11" s="14">
        <v>5</v>
      </c>
      <c r="F11" s="8">
        <v>10</v>
      </c>
      <c r="G11" s="27" t="s">
        <v>27</v>
      </c>
      <c r="H11" s="5">
        <v>20700</v>
      </c>
      <c r="I11" s="113">
        <v>0.82</v>
      </c>
      <c r="J11" s="112">
        <f t="shared" si="0"/>
        <v>16974</v>
      </c>
      <c r="O11" s="5"/>
    </row>
    <row r="12" spans="2:16" ht="19.899999999999999" customHeight="1" thickBot="1" x14ac:dyDescent="0.4">
      <c r="E12" s="14">
        <v>4</v>
      </c>
      <c r="F12" s="8">
        <v>10</v>
      </c>
      <c r="G12" s="27" t="s">
        <v>27</v>
      </c>
      <c r="H12" s="5">
        <v>20700</v>
      </c>
      <c r="I12" s="113">
        <v>0.82</v>
      </c>
      <c r="J12" s="112">
        <f>H12*I12</f>
        <v>16974</v>
      </c>
      <c r="O12" s="5"/>
    </row>
    <row r="13" spans="2:16" ht="16" thickBot="1" x14ac:dyDescent="0.4">
      <c r="E13" s="14">
        <v>3</v>
      </c>
      <c r="F13" s="8">
        <v>10</v>
      </c>
      <c r="G13" s="27" t="s">
        <v>27</v>
      </c>
      <c r="H13" s="5">
        <v>20700</v>
      </c>
      <c r="I13" s="113">
        <v>0.82</v>
      </c>
      <c r="J13" s="112">
        <f t="shared" si="0"/>
        <v>16974</v>
      </c>
      <c r="O13" s="5"/>
    </row>
    <row r="14" spans="2:16" ht="16" thickBot="1" x14ac:dyDescent="0.4">
      <c r="E14" s="14">
        <v>2</v>
      </c>
      <c r="F14" s="8">
        <v>10</v>
      </c>
      <c r="G14" s="27" t="s">
        <v>27</v>
      </c>
      <c r="H14" s="5">
        <v>20700</v>
      </c>
      <c r="I14" s="113">
        <v>0.82</v>
      </c>
      <c r="J14" s="112">
        <f t="shared" si="0"/>
        <v>16974</v>
      </c>
      <c r="O14" s="5"/>
    </row>
    <row r="15" spans="2:16" ht="16" thickBot="1" x14ac:dyDescent="0.4">
      <c r="E15" s="28">
        <v>1</v>
      </c>
      <c r="F15" s="29">
        <v>10</v>
      </c>
      <c r="G15" s="27" t="s">
        <v>52</v>
      </c>
      <c r="H15" s="5">
        <v>20700</v>
      </c>
      <c r="I15" s="113">
        <v>0.82</v>
      </c>
      <c r="J15" s="112">
        <f t="shared" si="0"/>
        <v>16974</v>
      </c>
      <c r="O15" s="5"/>
    </row>
    <row r="16" spans="2:16" ht="16" thickBot="1" x14ac:dyDescent="0.4">
      <c r="E16" s="30">
        <v>-1</v>
      </c>
      <c r="F16" s="13">
        <v>25</v>
      </c>
      <c r="G16" s="31" t="s">
        <v>145</v>
      </c>
      <c r="H16" s="32">
        <v>20700</v>
      </c>
      <c r="I16" s="121">
        <v>0.57999999999999996</v>
      </c>
      <c r="J16" s="112">
        <f t="shared" si="0"/>
        <v>12006</v>
      </c>
      <c r="O16" s="45"/>
    </row>
    <row r="17" spans="3:14" ht="16" thickBot="1" x14ac:dyDescent="0.4">
      <c r="E17" s="28"/>
      <c r="F17" s="29"/>
      <c r="G17" s="7"/>
      <c r="H17" s="385">
        <f>SUM(H7:H16)</f>
        <v>186300</v>
      </c>
      <c r="I17" s="86"/>
      <c r="J17" s="386">
        <f>SUM(J8:J16)</f>
        <v>147798</v>
      </c>
      <c r="N17" s="5"/>
    </row>
    <row r="19" spans="3:14" ht="16" thickBot="1" x14ac:dyDescent="0.4">
      <c r="C19" s="33"/>
    </row>
    <row r="20" spans="3:14" ht="19.899999999999999" customHeight="1" thickBot="1" x14ac:dyDescent="0.4">
      <c r="C20" s="34" t="s">
        <v>18</v>
      </c>
      <c r="D20" s="10"/>
      <c r="E20" s="10"/>
      <c r="F20" s="435" t="s">
        <v>33</v>
      </c>
      <c r="H20" s="35" t="s">
        <v>37</v>
      </c>
      <c r="I20" s="10"/>
      <c r="J20" s="10"/>
      <c r="K20" s="36"/>
    </row>
    <row r="21" spans="3:14" ht="19.899999999999999" customHeight="1" thickBot="1" x14ac:dyDescent="0.4">
      <c r="C21" s="37" t="s">
        <v>16</v>
      </c>
      <c r="D21" s="38" t="s">
        <v>17</v>
      </c>
      <c r="E21" s="38" t="s">
        <v>35</v>
      </c>
      <c r="F21" s="436"/>
      <c r="H21" s="310">
        <f>H17</f>
        <v>186300</v>
      </c>
      <c r="I21" s="72" t="s">
        <v>40</v>
      </c>
      <c r="J21" s="73">
        <v>350</v>
      </c>
      <c r="K21" s="74" t="s">
        <v>398</v>
      </c>
    </row>
    <row r="22" spans="3:14" ht="19.899999999999999" customHeight="1" x14ac:dyDescent="0.35">
      <c r="C22" s="39" t="s">
        <v>426</v>
      </c>
      <c r="D22" s="340">
        <f>J16</f>
        <v>12006</v>
      </c>
      <c r="E22" s="383">
        <v>48.82</v>
      </c>
      <c r="F22" s="98">
        <f>D22*E22</f>
        <v>586132.92000000004</v>
      </c>
      <c r="H22" s="75"/>
      <c r="I22" s="76" t="s">
        <v>405</v>
      </c>
      <c r="J22" s="104">
        <f>SUM(H17*J21)</f>
        <v>65205000</v>
      </c>
      <c r="K22" s="77"/>
    </row>
    <row r="23" spans="3:14" ht="19.899999999999999" customHeight="1" x14ac:dyDescent="0.35">
      <c r="C23" s="337" t="s">
        <v>52</v>
      </c>
      <c r="D23" s="339">
        <f>J15</f>
        <v>16974</v>
      </c>
      <c r="E23" s="384">
        <v>45</v>
      </c>
      <c r="F23" s="98">
        <f>D23*E23</f>
        <v>763830</v>
      </c>
      <c r="H23" s="118" t="s">
        <v>51</v>
      </c>
      <c r="I23" s="119"/>
      <c r="J23" s="120">
        <v>2000000</v>
      </c>
      <c r="K23" s="74"/>
    </row>
    <row r="24" spans="3:14" ht="19.899999999999999" customHeight="1" x14ac:dyDescent="0.35">
      <c r="C24" s="235" t="s">
        <v>15</v>
      </c>
      <c r="D24" s="338">
        <f>SUM(J8:J14)</f>
        <v>118818</v>
      </c>
      <c r="E24" s="384">
        <v>45.51</v>
      </c>
      <c r="F24" s="98">
        <f>D24*E24</f>
        <v>5407407.1799999997</v>
      </c>
      <c r="H24" s="79" t="s">
        <v>13</v>
      </c>
      <c r="I24" s="114" t="s">
        <v>406</v>
      </c>
      <c r="J24" s="105">
        <f>J22</f>
        <v>65205000</v>
      </c>
      <c r="K24" s="80"/>
      <c r="L24" s="43"/>
    </row>
    <row r="25" spans="3:14" ht="19.899999999999999" customHeight="1" x14ac:dyDescent="0.35">
      <c r="C25" s="422"/>
      <c r="D25" s="423"/>
      <c r="E25" s="424"/>
      <c r="F25" s="234"/>
      <c r="H25" s="79" t="s">
        <v>438</v>
      </c>
      <c r="I25" s="114">
        <v>0.04</v>
      </c>
      <c r="J25" s="105">
        <f>SUM(J23:J24,J26,J27)*I25</f>
        <v>2965032.36</v>
      </c>
      <c r="K25" s="80"/>
      <c r="L25" s="43"/>
    </row>
    <row r="26" spans="3:14" ht="19.899999999999999" customHeight="1" x14ac:dyDescent="0.35">
      <c r="C26" s="42" t="s">
        <v>46</v>
      </c>
      <c r="D26" s="100">
        <f>SUM(D22:D24)</f>
        <v>147798</v>
      </c>
      <c r="E26" s="44" t="s">
        <v>23</v>
      </c>
      <c r="F26" s="99">
        <f>SUM(F22:F24)</f>
        <v>6757370.0999999996</v>
      </c>
      <c r="H26" s="79" t="s">
        <v>14</v>
      </c>
      <c r="I26" s="114"/>
      <c r="J26" s="105">
        <f>'Soft Costs'!D23</f>
        <v>5616709</v>
      </c>
      <c r="K26" s="80"/>
      <c r="L26" s="43"/>
    </row>
    <row r="27" spans="3:14" ht="19.899999999999999" customHeight="1" thickBot="1" x14ac:dyDescent="0.4">
      <c r="C27" s="42"/>
      <c r="D27" s="45"/>
      <c r="E27" s="44"/>
      <c r="F27" s="341"/>
      <c r="H27" s="79" t="s">
        <v>19</v>
      </c>
      <c r="I27" s="343">
        <v>0.02</v>
      </c>
      <c r="J27" s="105">
        <f>I27*J24</f>
        <v>1304100</v>
      </c>
      <c r="K27" s="80"/>
      <c r="L27" s="43"/>
    </row>
    <row r="28" spans="3:14" ht="19.899999999999999" customHeight="1" thickBot="1" x14ac:dyDescent="0.4">
      <c r="C28" s="40"/>
      <c r="D28" s="41" t="s">
        <v>2</v>
      </c>
      <c r="E28" s="47">
        <v>0.03</v>
      </c>
      <c r="F28" s="101">
        <f>F26*E28</f>
        <v>202721.10299999997</v>
      </c>
      <c r="H28" s="81" t="s">
        <v>299</v>
      </c>
      <c r="I28" s="115">
        <v>0.05</v>
      </c>
      <c r="J28" s="106">
        <f>SUM(J24:J27)*I28</f>
        <v>3754542.068</v>
      </c>
      <c r="K28" s="82"/>
      <c r="L28" s="48"/>
    </row>
    <row r="29" spans="3:14" ht="19.899999999999999" customHeight="1" thickBot="1" x14ac:dyDescent="0.4">
      <c r="C29" s="49"/>
      <c r="D29" s="50"/>
      <c r="E29" s="51" t="s">
        <v>18</v>
      </c>
      <c r="F29" s="102">
        <f>F26-F28</f>
        <v>6554648.9969999995</v>
      </c>
      <c r="H29" s="83"/>
      <c r="I29" s="84" t="s">
        <v>1</v>
      </c>
      <c r="J29" s="107">
        <f>SUM(J23:J28)</f>
        <v>80845383.428000003</v>
      </c>
      <c r="K29" s="85"/>
    </row>
    <row r="30" spans="3:14" ht="19.899999999999999" customHeight="1" x14ac:dyDescent="0.35">
      <c r="I30" s="1"/>
    </row>
    <row r="31" spans="3:14" ht="19.899999999999999" customHeight="1" x14ac:dyDescent="0.35">
      <c r="F31" s="52" t="s">
        <v>28</v>
      </c>
      <c r="I31" s="2" t="s">
        <v>29</v>
      </c>
    </row>
    <row r="32" spans="3:14" ht="19.899999999999999" customHeight="1" thickBot="1" x14ac:dyDescent="0.4"/>
    <row r="33" spans="3:14" ht="19.899999999999999" customHeight="1" x14ac:dyDescent="0.35">
      <c r="C33" s="34" t="s">
        <v>36</v>
      </c>
      <c r="D33" s="10"/>
      <c r="E33" s="10"/>
      <c r="F33" s="36"/>
      <c r="H33" s="35" t="s">
        <v>41</v>
      </c>
      <c r="I33" s="10"/>
      <c r="J33" s="10"/>
      <c r="K33" s="36"/>
    </row>
    <row r="34" spans="3:14" ht="19.899999999999999" customHeight="1" thickBot="1" x14ac:dyDescent="0.4">
      <c r="C34" s="53"/>
      <c r="D34" s="54"/>
      <c r="E34" s="55"/>
      <c r="F34" s="46"/>
      <c r="H34" s="39" t="s">
        <v>6</v>
      </c>
      <c r="I34" s="87">
        <v>0.8</v>
      </c>
      <c r="J34" s="72" t="s">
        <v>4</v>
      </c>
      <c r="K34" s="74"/>
      <c r="N34" s="56"/>
    </row>
    <row r="35" spans="3:14" ht="19.899999999999999" customHeight="1" thickBot="1" x14ac:dyDescent="0.4">
      <c r="C35" s="57"/>
      <c r="D35" s="58" t="s">
        <v>42</v>
      </c>
      <c r="E35" s="59">
        <v>0.22</v>
      </c>
      <c r="F35" s="103">
        <f>'Operational Expenses'!B19</f>
        <v>936334.15949999995</v>
      </c>
      <c r="H35" s="67" t="s">
        <v>5</v>
      </c>
      <c r="I35" s="108">
        <f>J29*I34</f>
        <v>64676306.742400005</v>
      </c>
      <c r="J35" s="88"/>
      <c r="K35" s="78"/>
    </row>
    <row r="36" spans="3:14" ht="19.899999999999999" customHeight="1" thickBot="1" x14ac:dyDescent="0.4">
      <c r="C36" s="49"/>
      <c r="D36" s="7"/>
      <c r="E36" s="51"/>
      <c r="F36" s="66"/>
      <c r="H36" s="68" t="s">
        <v>20</v>
      </c>
      <c r="I36" s="89">
        <v>8.5000000000000006E-2</v>
      </c>
      <c r="J36" s="90"/>
      <c r="K36" s="80"/>
    </row>
    <row r="37" spans="3:14" ht="19.899999999999999" customHeight="1" x14ac:dyDescent="0.35">
      <c r="H37" s="68" t="s">
        <v>21</v>
      </c>
      <c r="I37" s="91">
        <v>10</v>
      </c>
      <c r="J37" s="92" t="s">
        <v>7</v>
      </c>
      <c r="K37" s="109">
        <f>I35*I36</f>
        <v>5497486.0731040007</v>
      </c>
      <c r="N37" s="60"/>
    </row>
    <row r="38" spans="3:14" ht="19.899999999999999" customHeight="1" x14ac:dyDescent="0.35">
      <c r="H38" s="70" t="s">
        <v>8</v>
      </c>
      <c r="I38" s="389">
        <f>1-I34</f>
        <v>0.19999999999999996</v>
      </c>
      <c r="J38" s="90" t="s">
        <v>43</v>
      </c>
      <c r="K38" s="93"/>
    </row>
    <row r="39" spans="3:14" ht="19.899999999999999" customHeight="1" x14ac:dyDescent="0.35">
      <c r="D39" s="437" t="s">
        <v>44</v>
      </c>
      <c r="E39" s="438"/>
      <c r="F39" s="117">
        <f>F42/K42</f>
        <v>0.78971097770390197</v>
      </c>
      <c r="H39" s="69" t="s">
        <v>5</v>
      </c>
      <c r="I39" s="108">
        <f>J29*I38</f>
        <v>16169076.685599998</v>
      </c>
      <c r="J39" s="90"/>
      <c r="K39" s="80"/>
    </row>
    <row r="40" spans="3:14" ht="19.899999999999999" customHeight="1" thickBot="1" x14ac:dyDescent="0.4">
      <c r="D40" s="19"/>
      <c r="E40" s="277" t="s">
        <v>45</v>
      </c>
      <c r="F40" s="117">
        <f>F42/K37</f>
        <v>1.0219789123226966</v>
      </c>
      <c r="H40" s="71" t="s">
        <v>49</v>
      </c>
      <c r="I40" s="94">
        <v>0.1</v>
      </c>
      <c r="J40" s="95" t="s">
        <v>7</v>
      </c>
      <c r="K40" s="110">
        <f>I39*I40</f>
        <v>1616907.6685599999</v>
      </c>
    </row>
    <row r="41" spans="3:14" ht="19.899999999999999" customHeight="1" thickBot="1" x14ac:dyDescent="0.4">
      <c r="I41" s="1"/>
    </row>
    <row r="42" spans="3:14" ht="19.899999999999999" customHeight="1" thickBot="1" x14ac:dyDescent="0.4">
      <c r="C42" s="61"/>
      <c r="D42" s="62"/>
      <c r="E42" s="63" t="s">
        <v>3</v>
      </c>
      <c r="F42" s="111">
        <f>F29-F35</f>
        <v>5618314.8374999994</v>
      </c>
      <c r="G42" s="19" t="s">
        <v>31</v>
      </c>
      <c r="H42" s="64"/>
      <c r="I42" s="62"/>
      <c r="J42" s="63" t="s">
        <v>30</v>
      </c>
      <c r="K42" s="111">
        <f>SUM(K37, K40)</f>
        <v>7114393.7416640008</v>
      </c>
    </row>
    <row r="43" spans="3:14" ht="19.899999999999999" customHeight="1" x14ac:dyDescent="0.35">
      <c r="H43" s="10"/>
      <c r="I43" s="10"/>
      <c r="J43" s="10"/>
      <c r="K43" s="65"/>
    </row>
  </sheetData>
  <mergeCells count="2">
    <mergeCell ref="F20:F21"/>
    <mergeCell ref="D39:E39"/>
  </mergeCells>
  <pageMargins left="0.7" right="0.7" top="0.75" bottom="0.75" header="0.3" footer="0.3"/>
  <pageSetup scale="63" orientation="landscape" horizontalDpi="4294967292" vertic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03E1-F5BB-4B8A-B686-9443BB1DE248}">
  <sheetPr>
    <tabColor rgb="FF00B0F0"/>
  </sheetPr>
  <dimension ref="A1:D16"/>
  <sheetViews>
    <sheetView workbookViewId="0">
      <selection activeCell="B16" sqref="B16"/>
    </sheetView>
  </sheetViews>
  <sheetFormatPr defaultRowHeight="15.5" x14ac:dyDescent="0.35"/>
  <cols>
    <col min="1" max="1" width="38.58203125" bestFit="1" customWidth="1"/>
    <col min="2" max="2" width="10.83203125" style="278" bestFit="1" customWidth="1"/>
  </cols>
  <sheetData>
    <row r="1" spans="1:4" x14ac:dyDescent="0.35">
      <c r="A1" t="s">
        <v>300</v>
      </c>
      <c r="B1" s="278">
        <v>10000</v>
      </c>
    </row>
    <row r="2" spans="1:4" x14ac:dyDescent="0.35">
      <c r="A2" s="239" t="s">
        <v>194</v>
      </c>
      <c r="B2" s="278">
        <v>10000</v>
      </c>
    </row>
    <row r="3" spans="1:4" x14ac:dyDescent="0.35">
      <c r="A3" s="287" t="s">
        <v>301</v>
      </c>
      <c r="B3" s="278">
        <v>5000</v>
      </c>
      <c r="C3" s="239"/>
      <c r="D3" s="242"/>
    </row>
    <row r="4" spans="1:4" x14ac:dyDescent="0.35">
      <c r="A4" t="s">
        <v>302</v>
      </c>
      <c r="B4" s="278">
        <v>35855</v>
      </c>
      <c r="C4" s="239"/>
      <c r="D4" s="242"/>
    </row>
    <row r="5" spans="1:4" x14ac:dyDescent="0.35">
      <c r="A5" t="s">
        <v>306</v>
      </c>
      <c r="B5" s="278">
        <v>50000</v>
      </c>
    </row>
    <row r="6" spans="1:4" x14ac:dyDescent="0.35">
      <c r="A6" t="s">
        <v>305</v>
      </c>
      <c r="B6" s="278">
        <v>50000</v>
      </c>
    </row>
    <row r="7" spans="1:4" x14ac:dyDescent="0.35">
      <c r="A7" t="s">
        <v>303</v>
      </c>
      <c r="B7" s="278">
        <v>10000</v>
      </c>
    </row>
    <row r="8" spans="1:4" x14ac:dyDescent="0.35">
      <c r="A8" s="262" t="s">
        <v>304</v>
      </c>
    </row>
    <row r="9" spans="1:4" x14ac:dyDescent="0.35">
      <c r="A9" s="239" t="s">
        <v>221</v>
      </c>
      <c r="B9" s="278">
        <f>'Cashflow Breakdown'!G58</f>
        <v>0</v>
      </c>
    </row>
    <row r="10" spans="1:4" x14ac:dyDescent="0.35">
      <c r="A10" s="239" t="s">
        <v>222</v>
      </c>
      <c r="B10" s="278">
        <f>'Cashflow Breakdown'!G59</f>
        <v>0</v>
      </c>
    </row>
    <row r="11" spans="1:4" x14ac:dyDescent="0.35">
      <c r="A11" s="240" t="s">
        <v>224</v>
      </c>
      <c r="B11" s="278">
        <f>'Cashflow Breakdown'!G60</f>
        <v>3750</v>
      </c>
    </row>
    <row r="12" spans="1:4" x14ac:dyDescent="0.35">
      <c r="A12" s="240" t="s">
        <v>260</v>
      </c>
      <c r="B12" s="278">
        <f>'Cashflow Breakdown'!G61</f>
        <v>1500</v>
      </c>
    </row>
    <row r="13" spans="1:4" x14ac:dyDescent="0.35">
      <c r="A13" s="240" t="s">
        <v>228</v>
      </c>
      <c r="B13" s="278">
        <f>'Cashflow Breakdown'!G63</f>
        <v>1500</v>
      </c>
    </row>
    <row r="14" spans="1:4" ht="18.5" x14ac:dyDescent="0.45">
      <c r="A14" s="238" t="s">
        <v>230</v>
      </c>
      <c r="B14" s="278">
        <f>'Cashflow Breakdown'!G65</f>
        <v>24250</v>
      </c>
    </row>
    <row r="16" spans="1:4" x14ac:dyDescent="0.35">
      <c r="B16" s="288">
        <f>SUM(B1:B14)</f>
        <v>201855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954EF-18B6-4363-B29F-40F397FEB774}">
  <sheetPr>
    <tabColor rgb="FF00B0F0"/>
  </sheetPr>
  <dimension ref="A1:I21"/>
  <sheetViews>
    <sheetView workbookViewId="0">
      <selection activeCell="B21" sqref="B21"/>
    </sheetView>
  </sheetViews>
  <sheetFormatPr defaultColWidth="8.75" defaultRowHeight="15.5" x14ac:dyDescent="0.35"/>
  <cols>
    <col min="1" max="1" width="42.75" bestFit="1" customWidth="1"/>
    <col min="2" max="2" width="13.75" bestFit="1" customWidth="1"/>
    <col min="4" max="4" width="9.83203125" bestFit="1" customWidth="1"/>
    <col min="9" max="9" width="27" bestFit="1" customWidth="1"/>
  </cols>
  <sheetData>
    <row r="1" spans="1:9" x14ac:dyDescent="0.35">
      <c r="A1" s="262" t="s">
        <v>285</v>
      </c>
      <c r="I1" s="262"/>
    </row>
    <row r="3" spans="1:9" x14ac:dyDescent="0.35">
      <c r="A3" t="s">
        <v>279</v>
      </c>
      <c r="B3" s="276">
        <f>'Construction Loan'!F26</f>
        <v>6757370.0999999996</v>
      </c>
      <c r="C3" s="274"/>
    </row>
    <row r="4" spans="1:9" x14ac:dyDescent="0.35">
      <c r="A4" t="s">
        <v>283</v>
      </c>
      <c r="B4" s="276">
        <f>SUM(B3*0.03)</f>
        <v>202721.10299999997</v>
      </c>
      <c r="C4" s="274"/>
    </row>
    <row r="6" spans="1:9" x14ac:dyDescent="0.35">
      <c r="A6" s="262" t="s">
        <v>284</v>
      </c>
      <c r="B6" s="276"/>
      <c r="C6" s="274"/>
    </row>
    <row r="7" spans="1:9" x14ac:dyDescent="0.35">
      <c r="A7" t="s">
        <v>401</v>
      </c>
      <c r="B7" s="276">
        <v>0</v>
      </c>
      <c r="C7" s="274"/>
    </row>
    <row r="8" spans="1:9" x14ac:dyDescent="0.35">
      <c r="A8" t="s">
        <v>280</v>
      </c>
      <c r="B8" s="276">
        <v>45000</v>
      </c>
    </row>
    <row r="9" spans="1:9" x14ac:dyDescent="0.35">
      <c r="A9" t="s">
        <v>239</v>
      </c>
      <c r="B9" s="276">
        <v>50000</v>
      </c>
      <c r="C9" s="274"/>
    </row>
    <row r="10" spans="1:9" x14ac:dyDescent="0.35">
      <c r="A10" t="s">
        <v>281</v>
      </c>
      <c r="B10" s="276">
        <v>12000</v>
      </c>
      <c r="C10" s="274"/>
    </row>
    <row r="11" spans="1:9" x14ac:dyDescent="0.35">
      <c r="A11" t="s">
        <v>436</v>
      </c>
      <c r="B11" s="276">
        <f>SUM(B3*0.035)</f>
        <v>236507.9535</v>
      </c>
      <c r="C11" s="274"/>
    </row>
    <row r="12" spans="1:9" x14ac:dyDescent="0.35">
      <c r="A12" t="s">
        <v>409</v>
      </c>
      <c r="B12" s="276">
        <f>SUM(B3*0.03)</f>
        <v>202721.10299999997</v>
      </c>
      <c r="C12" s="274"/>
    </row>
    <row r="13" spans="1:9" x14ac:dyDescent="0.35">
      <c r="A13" t="s">
        <v>400</v>
      </c>
      <c r="B13" s="276">
        <v>67000</v>
      </c>
    </row>
    <row r="14" spans="1:9" x14ac:dyDescent="0.35">
      <c r="A14" t="s">
        <v>437</v>
      </c>
      <c r="B14" s="421">
        <v>120384</v>
      </c>
      <c r="C14" s="274"/>
    </row>
    <row r="16" spans="1:9" x14ac:dyDescent="0.35">
      <c r="B16" s="274"/>
      <c r="C16" s="274"/>
    </row>
    <row r="17" spans="1:4" x14ac:dyDescent="0.35">
      <c r="B17" s="274"/>
      <c r="C17" s="274"/>
    </row>
    <row r="18" spans="1:4" x14ac:dyDescent="0.35">
      <c r="B18" s="275"/>
      <c r="C18" s="274"/>
    </row>
    <row r="19" spans="1:4" x14ac:dyDescent="0.35">
      <c r="A19" t="s">
        <v>278</v>
      </c>
      <c r="B19" s="276">
        <f>SUM(B4:B14)</f>
        <v>936334.15949999995</v>
      </c>
      <c r="C19" s="274"/>
      <c r="D19" s="278"/>
    </row>
    <row r="20" spans="1:4" x14ac:dyDescent="0.35">
      <c r="A20" t="s">
        <v>282</v>
      </c>
      <c r="B20" s="276">
        <f>SUM(B3-B19)</f>
        <v>5821035.9404999996</v>
      </c>
      <c r="C20" s="275"/>
    </row>
    <row r="21" spans="1:4" x14ac:dyDescent="0.35">
      <c r="C21" s="27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93C7-0C31-4510-81FB-7F39184970B6}">
  <sheetPr>
    <tabColor theme="5"/>
  </sheetPr>
  <dimension ref="A1:B16"/>
  <sheetViews>
    <sheetView workbookViewId="0">
      <selection activeCell="B13" sqref="B13"/>
    </sheetView>
  </sheetViews>
  <sheetFormatPr defaultColWidth="10.25" defaultRowHeight="15.75" customHeight="1" x14ac:dyDescent="0.35"/>
  <cols>
    <col min="1" max="1" width="28.75" bestFit="1" customWidth="1"/>
    <col min="2" max="2" width="9.75" bestFit="1" customWidth="1"/>
    <col min="5" max="5" width="8.5" customWidth="1"/>
  </cols>
  <sheetData>
    <row r="1" spans="1:2" ht="15.75" customHeight="1" thickBot="1" x14ac:dyDescent="0.4">
      <c r="A1" s="122" t="s">
        <v>63</v>
      </c>
      <c r="B1" s="123"/>
    </row>
    <row r="2" spans="1:2" ht="15.75" customHeight="1" x14ac:dyDescent="0.35">
      <c r="A2" s="124" t="s">
        <v>53</v>
      </c>
      <c r="B2" s="125">
        <f>'Construction Loan'!H17</f>
        <v>186300</v>
      </c>
    </row>
    <row r="3" spans="1:2" ht="15.75" customHeight="1" x14ac:dyDescent="0.35">
      <c r="A3" s="126" t="s">
        <v>54</v>
      </c>
      <c r="B3" s="125">
        <f>'Construction Loan'!D24</f>
        <v>118818</v>
      </c>
    </row>
    <row r="4" spans="1:2" ht="15.75" customHeight="1" x14ac:dyDescent="0.35">
      <c r="A4" s="127" t="s">
        <v>55</v>
      </c>
      <c r="B4" s="125">
        <f>'Construction Loan'!D23</f>
        <v>16974</v>
      </c>
    </row>
    <row r="5" spans="1:2" ht="15.75" customHeight="1" x14ac:dyDescent="0.35">
      <c r="A5" s="126" t="s">
        <v>56</v>
      </c>
      <c r="B5" s="128">
        <f>'Pro Forma'!D39</f>
        <v>88</v>
      </c>
    </row>
    <row r="6" spans="1:2" ht="15.75" customHeight="1" x14ac:dyDescent="0.35">
      <c r="A6" s="127" t="s">
        <v>57</v>
      </c>
      <c r="B6" s="406">
        <f>B3/B5</f>
        <v>1350.2045454545455</v>
      </c>
    </row>
    <row r="7" spans="1:2" ht="15.75" customHeight="1" x14ac:dyDescent="0.35">
      <c r="A7" s="129" t="s">
        <v>64</v>
      </c>
      <c r="B7" s="130"/>
    </row>
    <row r="8" spans="1:2" ht="15.75" customHeight="1" x14ac:dyDescent="0.35">
      <c r="A8" s="131" t="s">
        <v>58</v>
      </c>
      <c r="B8" s="132">
        <f>'Construction Loan'!J29</f>
        <v>80845383.428000003</v>
      </c>
    </row>
    <row r="9" spans="1:2" ht="15.75" customHeight="1" x14ac:dyDescent="0.35">
      <c r="A9" s="127" t="s">
        <v>411</v>
      </c>
      <c r="B9" s="125">
        <f>'Construction Loan'!I35</f>
        <v>64676306.742400005</v>
      </c>
    </row>
    <row r="10" spans="1:2" ht="15.75" customHeight="1" x14ac:dyDescent="0.35">
      <c r="A10" s="126" t="s">
        <v>410</v>
      </c>
      <c r="B10" s="133">
        <f>'Construction Loan'!I39</f>
        <v>16169076.685599998</v>
      </c>
    </row>
    <row r="11" spans="1:2" ht="15.75" customHeight="1" x14ac:dyDescent="0.35">
      <c r="A11" s="127" t="s">
        <v>407</v>
      </c>
      <c r="B11" s="125">
        <f>Analysis!K9</f>
        <v>135756354.87052113</v>
      </c>
    </row>
    <row r="12" spans="1:2" ht="15.75" customHeight="1" x14ac:dyDescent="0.35">
      <c r="A12" s="126" t="s">
        <v>59</v>
      </c>
      <c r="B12" s="134">
        <f>B9/B11</f>
        <v>0.4764145796643231</v>
      </c>
    </row>
    <row r="13" spans="1:2" ht="15.75" customHeight="1" x14ac:dyDescent="0.35">
      <c r="A13" s="126" t="s">
        <v>60</v>
      </c>
      <c r="B13" s="125">
        <f>'Construction Loan'!F42</f>
        <v>5618314.8374999994</v>
      </c>
    </row>
    <row r="14" spans="1:2" ht="15.75" customHeight="1" x14ac:dyDescent="0.35">
      <c r="A14" s="135" t="s">
        <v>61</v>
      </c>
      <c r="B14" s="136">
        <f>B13/B9</f>
        <v>8.6868207547429216E-2</v>
      </c>
    </row>
    <row r="15" spans="1:2" ht="15.75" customHeight="1" x14ac:dyDescent="0.35">
      <c r="A15" s="135" t="s">
        <v>408</v>
      </c>
      <c r="B15" s="136">
        <f>Analysis!E12</f>
        <v>0.15753836191073134</v>
      </c>
    </row>
    <row r="16" spans="1:2" ht="15.75" customHeight="1" thickBot="1" x14ac:dyDescent="0.4">
      <c r="A16" s="137" t="s">
        <v>62</v>
      </c>
      <c r="B16" s="138">
        <f>'Construction Loan'!F40</f>
        <v>1.0219789123226966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3B682-6919-49E4-9FCE-5D97A0BA702B}">
  <sheetPr>
    <tabColor rgb="FF00B0F0"/>
    <pageSetUpPr fitToPage="1"/>
  </sheetPr>
  <dimension ref="B1:P43"/>
  <sheetViews>
    <sheetView showGridLines="0" tabSelected="1" zoomScale="90" zoomScaleNormal="90" workbookViewId="0">
      <selection activeCell="B2" sqref="B2"/>
    </sheetView>
  </sheetViews>
  <sheetFormatPr defaultColWidth="9.75" defaultRowHeight="15.5" x14ac:dyDescent="0.35"/>
  <cols>
    <col min="1" max="1" width="1.5" style="1" customWidth="1"/>
    <col min="2" max="2" width="6.75" style="1" customWidth="1"/>
    <col min="3" max="3" width="20.58203125" style="1" customWidth="1"/>
    <col min="4" max="4" width="14.33203125" style="2" customWidth="1"/>
    <col min="5" max="5" width="23.58203125" style="3" customWidth="1"/>
    <col min="6" max="6" width="17.25" style="6" customWidth="1"/>
    <col min="7" max="7" width="24.75" style="1" customWidth="1"/>
    <col min="8" max="8" width="16.75" style="1" customWidth="1"/>
    <col min="9" max="9" width="17.5" style="8" customWidth="1"/>
    <col min="10" max="10" width="15.75" style="1" customWidth="1"/>
    <col min="11" max="11" width="18.25" style="1" customWidth="1"/>
    <col min="12" max="12" width="10.75" style="1" customWidth="1"/>
    <col min="13" max="13" width="10.08203125" style="1" bestFit="1" customWidth="1"/>
    <col min="14" max="14" width="13.25" style="1" customWidth="1"/>
    <col min="15" max="15" width="23.75" style="1" customWidth="1"/>
    <col min="16" max="16" width="9.75" style="1"/>
    <col min="17" max="17" width="12" style="1" customWidth="1"/>
    <col min="18" max="16384" width="9.75" style="1"/>
  </cols>
  <sheetData>
    <row r="1" spans="2:16" ht="20" x14ac:dyDescent="0.4">
      <c r="B1" s="116" t="s">
        <v>443</v>
      </c>
      <c r="F1" s="4"/>
      <c r="I1" s="1"/>
      <c r="M1" s="5"/>
      <c r="N1" s="5"/>
      <c r="O1" s="5"/>
      <c r="P1" s="5"/>
    </row>
    <row r="2" spans="2:16" ht="16" thickBot="1" x14ac:dyDescent="0.4">
      <c r="G2" s="7"/>
    </row>
    <row r="3" spans="2:16" x14ac:dyDescent="0.35">
      <c r="B3" s="96"/>
      <c r="C3" s="1" t="s">
        <v>47</v>
      </c>
      <c r="E3" s="9" t="s">
        <v>0</v>
      </c>
      <c r="F3" s="10"/>
      <c r="G3" s="11" t="s">
        <v>11</v>
      </c>
      <c r="H3" s="10"/>
      <c r="I3" s="12"/>
      <c r="J3" s="13"/>
    </row>
    <row r="4" spans="2:16" x14ac:dyDescent="0.35">
      <c r="B4" s="97"/>
      <c r="C4" s="1" t="s">
        <v>48</v>
      </c>
      <c r="E4" s="14"/>
      <c r="F4" s="15"/>
      <c r="H4" s="16"/>
      <c r="I4" s="16"/>
      <c r="J4" s="17"/>
    </row>
    <row r="5" spans="2:16" x14ac:dyDescent="0.35">
      <c r="E5" s="18" t="s">
        <v>10</v>
      </c>
      <c r="F5" s="19" t="s">
        <v>22</v>
      </c>
      <c r="G5" s="19" t="s">
        <v>38</v>
      </c>
      <c r="H5" s="20" t="s">
        <v>12</v>
      </c>
      <c r="I5" s="20" t="s">
        <v>24</v>
      </c>
      <c r="J5" s="21" t="s">
        <v>50</v>
      </c>
    </row>
    <row r="6" spans="2:16" x14ac:dyDescent="0.35">
      <c r="E6" s="22" t="s">
        <v>9</v>
      </c>
      <c r="F6" s="23" t="s">
        <v>32</v>
      </c>
      <c r="G6" s="23" t="s">
        <v>34</v>
      </c>
      <c r="H6" s="24" t="s">
        <v>399</v>
      </c>
      <c r="I6" s="24" t="s">
        <v>25</v>
      </c>
      <c r="J6" s="25" t="s">
        <v>26</v>
      </c>
    </row>
    <row r="7" spans="2:16" x14ac:dyDescent="0.35">
      <c r="E7" s="14"/>
      <c r="F7" s="8"/>
      <c r="H7" s="5"/>
      <c r="I7" s="16"/>
      <c r="J7" s="26"/>
      <c r="O7" s="5"/>
    </row>
    <row r="8" spans="2:16" ht="16" thickBot="1" x14ac:dyDescent="0.4">
      <c r="E8" s="14">
        <v>8</v>
      </c>
      <c r="F8" s="8">
        <v>10</v>
      </c>
      <c r="G8" s="27" t="s">
        <v>27</v>
      </c>
      <c r="H8" s="5">
        <v>20700</v>
      </c>
      <c r="I8" s="113">
        <v>0.82</v>
      </c>
      <c r="J8" s="112">
        <f>H8*I8</f>
        <v>16974</v>
      </c>
      <c r="O8" s="5"/>
    </row>
    <row r="9" spans="2:16" ht="16" thickBot="1" x14ac:dyDescent="0.4">
      <c r="E9" s="14">
        <v>7</v>
      </c>
      <c r="F9" s="8">
        <v>10</v>
      </c>
      <c r="G9" s="27" t="s">
        <v>27</v>
      </c>
      <c r="H9" s="5">
        <v>20700</v>
      </c>
      <c r="I9" s="113">
        <v>0.82</v>
      </c>
      <c r="J9" s="112">
        <f t="shared" ref="J9:J16" si="0">H9*I9</f>
        <v>16974</v>
      </c>
      <c r="O9" s="5"/>
    </row>
    <row r="10" spans="2:16" ht="16" thickBot="1" x14ac:dyDescent="0.4">
      <c r="E10" s="14">
        <v>6</v>
      </c>
      <c r="F10" s="8">
        <v>10</v>
      </c>
      <c r="G10" s="27" t="s">
        <v>27</v>
      </c>
      <c r="H10" s="5">
        <v>20700</v>
      </c>
      <c r="I10" s="113">
        <v>0.82</v>
      </c>
      <c r="J10" s="112">
        <f t="shared" si="0"/>
        <v>16974</v>
      </c>
      <c r="O10" s="5"/>
    </row>
    <row r="11" spans="2:16" ht="16" thickBot="1" x14ac:dyDescent="0.4">
      <c r="E11" s="14">
        <v>5</v>
      </c>
      <c r="F11" s="8">
        <v>10</v>
      </c>
      <c r="G11" s="27" t="s">
        <v>27</v>
      </c>
      <c r="H11" s="5">
        <v>20700</v>
      </c>
      <c r="I11" s="113">
        <v>0.82</v>
      </c>
      <c r="J11" s="112">
        <f t="shared" si="0"/>
        <v>16974</v>
      </c>
      <c r="O11" s="5"/>
    </row>
    <row r="12" spans="2:16" ht="19.899999999999999" customHeight="1" thickBot="1" x14ac:dyDescent="0.4">
      <c r="E12" s="14">
        <v>4</v>
      </c>
      <c r="F12" s="8">
        <v>10</v>
      </c>
      <c r="G12" s="27" t="s">
        <v>27</v>
      </c>
      <c r="H12" s="5">
        <v>20700</v>
      </c>
      <c r="I12" s="113">
        <v>0.82</v>
      </c>
      <c r="J12" s="112">
        <f>H12*I12</f>
        <v>16974</v>
      </c>
      <c r="O12" s="5"/>
    </row>
    <row r="13" spans="2:16" ht="16" thickBot="1" x14ac:dyDescent="0.4">
      <c r="E13" s="14">
        <v>3</v>
      </c>
      <c r="F13" s="8">
        <v>10</v>
      </c>
      <c r="G13" s="27" t="s">
        <v>27</v>
      </c>
      <c r="H13" s="5">
        <v>20700</v>
      </c>
      <c r="I13" s="113">
        <v>0.82</v>
      </c>
      <c r="J13" s="112">
        <f t="shared" si="0"/>
        <v>16974</v>
      </c>
      <c r="O13" s="5"/>
    </row>
    <row r="14" spans="2:16" ht="16" thickBot="1" x14ac:dyDescent="0.4">
      <c r="E14" s="14">
        <v>2</v>
      </c>
      <c r="F14" s="8">
        <v>10</v>
      </c>
      <c r="G14" s="27" t="s">
        <v>27</v>
      </c>
      <c r="H14" s="5">
        <v>20700</v>
      </c>
      <c r="I14" s="113">
        <v>0.82</v>
      </c>
      <c r="J14" s="112">
        <f t="shared" si="0"/>
        <v>16974</v>
      </c>
      <c r="O14" s="5"/>
    </row>
    <row r="15" spans="2:16" ht="16" thickBot="1" x14ac:dyDescent="0.4">
      <c r="E15" s="28">
        <v>1</v>
      </c>
      <c r="F15" s="29">
        <v>10</v>
      </c>
      <c r="G15" s="27" t="s">
        <v>52</v>
      </c>
      <c r="H15" s="5">
        <v>20700</v>
      </c>
      <c r="I15" s="113">
        <v>0.82</v>
      </c>
      <c r="J15" s="112">
        <f t="shared" si="0"/>
        <v>16974</v>
      </c>
      <c r="O15" s="5"/>
    </row>
    <row r="16" spans="2:16" ht="16" thickBot="1" x14ac:dyDescent="0.4">
      <c r="E16" s="30">
        <v>-1</v>
      </c>
      <c r="F16" s="13">
        <v>25</v>
      </c>
      <c r="G16" s="31" t="s">
        <v>145</v>
      </c>
      <c r="H16" s="32">
        <v>20700</v>
      </c>
      <c r="I16" s="121">
        <v>0.57999999999999996</v>
      </c>
      <c r="J16" s="112">
        <f t="shared" si="0"/>
        <v>12006</v>
      </c>
      <c r="O16" s="5"/>
    </row>
    <row r="17" spans="3:14" ht="16" thickBot="1" x14ac:dyDescent="0.4">
      <c r="E17" s="28"/>
      <c r="F17" s="29"/>
      <c r="G17" s="7"/>
      <c r="H17" s="385">
        <f>SUM(H7:H16)</f>
        <v>186300</v>
      </c>
      <c r="I17" s="86"/>
      <c r="J17" s="386">
        <f>SUM(J8:J16)</f>
        <v>147798</v>
      </c>
      <c r="N17" s="5"/>
    </row>
    <row r="19" spans="3:14" ht="16" thickBot="1" x14ac:dyDescent="0.4">
      <c r="C19" s="33"/>
    </row>
    <row r="20" spans="3:14" ht="19.899999999999999" customHeight="1" thickBot="1" x14ac:dyDescent="0.4">
      <c r="C20" s="34" t="s">
        <v>18</v>
      </c>
      <c r="D20" s="10"/>
      <c r="E20" s="10"/>
      <c r="F20" s="435" t="s">
        <v>33</v>
      </c>
      <c r="H20" s="35" t="s">
        <v>37</v>
      </c>
      <c r="I20" s="10"/>
      <c r="J20" s="10"/>
      <c r="K20" s="36"/>
    </row>
    <row r="21" spans="3:14" ht="19.899999999999999" customHeight="1" thickBot="1" x14ac:dyDescent="0.4">
      <c r="C21" s="37" t="s">
        <v>16</v>
      </c>
      <c r="D21" s="38" t="s">
        <v>17</v>
      </c>
      <c r="E21" s="38" t="s">
        <v>35</v>
      </c>
      <c r="F21" s="436"/>
      <c r="H21" s="310">
        <f>H17</f>
        <v>186300</v>
      </c>
      <c r="I21" s="72" t="s">
        <v>40</v>
      </c>
      <c r="J21" s="73">
        <v>280</v>
      </c>
      <c r="K21" s="74" t="s">
        <v>398</v>
      </c>
    </row>
    <row r="22" spans="3:14" ht="19.899999999999999" customHeight="1" x14ac:dyDescent="0.35">
      <c r="C22" s="39" t="s">
        <v>426</v>
      </c>
      <c r="D22" s="340">
        <f>J16</f>
        <v>12006</v>
      </c>
      <c r="E22" s="383">
        <v>48.82</v>
      </c>
      <c r="F22" s="98">
        <f>D22*E22</f>
        <v>586132.92000000004</v>
      </c>
      <c r="H22" s="75"/>
      <c r="I22" s="76" t="s">
        <v>405</v>
      </c>
      <c r="J22" s="104">
        <f>SUM(H17*J21)</f>
        <v>52164000</v>
      </c>
      <c r="K22" s="77"/>
    </row>
    <row r="23" spans="3:14" ht="19.899999999999999" customHeight="1" x14ac:dyDescent="0.35">
      <c r="C23" s="337" t="s">
        <v>52</v>
      </c>
      <c r="D23" s="339">
        <f>J16</f>
        <v>12006</v>
      </c>
      <c r="E23" s="384">
        <v>50</v>
      </c>
      <c r="F23" s="98">
        <f>D23*E23</f>
        <v>600300</v>
      </c>
      <c r="H23" s="118" t="s">
        <v>51</v>
      </c>
      <c r="I23" s="119"/>
      <c r="J23" s="120">
        <v>10000000</v>
      </c>
      <c r="K23" s="74"/>
    </row>
    <row r="24" spans="3:14" ht="19.899999999999999" customHeight="1" x14ac:dyDescent="0.35">
      <c r="C24" s="235" t="s">
        <v>15</v>
      </c>
      <c r="D24" s="338">
        <f>SUM(J8:J15)</f>
        <v>135792</v>
      </c>
      <c r="E24" s="384">
        <v>45.51</v>
      </c>
      <c r="F24" s="98">
        <f>D24*E24</f>
        <v>6179893.9199999999</v>
      </c>
      <c r="H24" s="79" t="s">
        <v>13</v>
      </c>
      <c r="I24" s="114" t="s">
        <v>406</v>
      </c>
      <c r="J24" s="105">
        <f>J22</f>
        <v>52164000</v>
      </c>
      <c r="K24" s="80"/>
      <c r="L24" s="43"/>
    </row>
    <row r="25" spans="3:14" ht="19.899999999999999" customHeight="1" x14ac:dyDescent="0.35">
      <c r="C25" s="422"/>
      <c r="D25" s="423"/>
      <c r="E25" s="424"/>
      <c r="F25" s="234"/>
      <c r="H25" s="79" t="s">
        <v>438</v>
      </c>
      <c r="I25" s="114">
        <v>0.04</v>
      </c>
      <c r="J25" s="105">
        <f>SUM(J23:J24,J26,J27)*I25</f>
        <v>2732093.96</v>
      </c>
      <c r="K25" s="80"/>
      <c r="L25" s="43"/>
    </row>
    <row r="26" spans="3:14" ht="19.899999999999999" customHeight="1" x14ac:dyDescent="0.35">
      <c r="C26" s="42" t="s">
        <v>46</v>
      </c>
      <c r="D26" s="100">
        <f>SUM(D22:D24)</f>
        <v>159804</v>
      </c>
      <c r="E26" s="44" t="s">
        <v>23</v>
      </c>
      <c r="F26" s="99">
        <f>SUM(F22:F24)</f>
        <v>7366326.8399999999</v>
      </c>
      <c r="H26" s="79" t="s">
        <v>14</v>
      </c>
      <c r="I26" s="114"/>
      <c r="J26" s="105">
        <f>'Soft Costs'!D23</f>
        <v>5616709</v>
      </c>
      <c r="K26" s="80"/>
      <c r="L26" s="43"/>
    </row>
    <row r="27" spans="3:14" ht="19.899999999999999" customHeight="1" thickBot="1" x14ac:dyDescent="0.4">
      <c r="C27" s="42"/>
      <c r="D27" s="45"/>
      <c r="E27" s="44"/>
      <c r="F27" s="341"/>
      <c r="H27" s="79" t="s">
        <v>19</v>
      </c>
      <c r="I27" s="343">
        <v>0.01</v>
      </c>
      <c r="J27" s="105">
        <f>I27*J24</f>
        <v>521640</v>
      </c>
      <c r="K27" s="80"/>
      <c r="L27" s="43"/>
    </row>
    <row r="28" spans="3:14" ht="19.899999999999999" customHeight="1" thickBot="1" x14ac:dyDescent="0.4">
      <c r="C28" s="40"/>
      <c r="D28" s="41" t="s">
        <v>2</v>
      </c>
      <c r="E28" s="47">
        <v>0.03</v>
      </c>
      <c r="F28" s="101">
        <f>F26*E28</f>
        <v>220989.80519999997</v>
      </c>
      <c r="H28" s="81" t="s">
        <v>299</v>
      </c>
      <c r="I28" s="115">
        <v>0.05</v>
      </c>
      <c r="J28" s="106">
        <f>SUM(J24:J27)*I28</f>
        <v>3051722.148</v>
      </c>
      <c r="K28" s="82"/>
      <c r="L28" s="48"/>
    </row>
    <row r="29" spans="3:14" ht="19.899999999999999" customHeight="1" thickBot="1" x14ac:dyDescent="0.4">
      <c r="C29" s="49"/>
      <c r="D29" s="50"/>
      <c r="E29" s="51" t="s">
        <v>18</v>
      </c>
      <c r="F29" s="102">
        <f>F26-F28</f>
        <v>7145337.0347999996</v>
      </c>
      <c r="H29" s="83"/>
      <c r="I29" s="84" t="s">
        <v>1</v>
      </c>
      <c r="J29" s="107">
        <f>SUM(J23:J28)</f>
        <v>74086165.10800001</v>
      </c>
      <c r="K29" s="85"/>
    </row>
    <row r="30" spans="3:14" ht="19.899999999999999" customHeight="1" x14ac:dyDescent="0.35">
      <c r="I30" s="1"/>
    </row>
    <row r="31" spans="3:14" ht="19.899999999999999" customHeight="1" x14ac:dyDescent="0.35">
      <c r="F31" s="52" t="s">
        <v>28</v>
      </c>
      <c r="I31" s="2" t="s">
        <v>29</v>
      </c>
    </row>
    <row r="32" spans="3:14" ht="19.899999999999999" customHeight="1" thickBot="1" x14ac:dyDescent="0.4"/>
    <row r="33" spans="3:14" ht="19.899999999999999" customHeight="1" x14ac:dyDescent="0.35">
      <c r="C33" s="34" t="s">
        <v>36</v>
      </c>
      <c r="D33" s="10"/>
      <c r="E33" s="10"/>
      <c r="F33" s="36"/>
      <c r="H33" s="35" t="s">
        <v>41</v>
      </c>
      <c r="I33" s="10"/>
      <c r="J33" s="10"/>
      <c r="K33" s="36"/>
    </row>
    <row r="34" spans="3:14" ht="19.899999999999999" customHeight="1" thickBot="1" x14ac:dyDescent="0.4">
      <c r="C34" s="53"/>
      <c r="D34" s="54"/>
      <c r="E34" s="55"/>
      <c r="F34" s="46"/>
      <c r="H34" s="39" t="s">
        <v>6</v>
      </c>
      <c r="I34" s="87">
        <v>0.7</v>
      </c>
      <c r="J34" s="72" t="s">
        <v>4</v>
      </c>
      <c r="K34" s="74"/>
      <c r="N34" s="56"/>
    </row>
    <row r="35" spans="3:14" ht="19.899999999999999" customHeight="1" thickBot="1" x14ac:dyDescent="0.4">
      <c r="C35" s="57"/>
      <c r="D35" s="58" t="s">
        <v>42</v>
      </c>
      <c r="E35" s="59">
        <v>0.22</v>
      </c>
      <c r="F35" s="103">
        <f>'Operational Expenses'!B19</f>
        <v>936334.15949999995</v>
      </c>
      <c r="H35" s="67" t="s">
        <v>5</v>
      </c>
      <c r="I35" s="108">
        <f>F42/0.05*I34</f>
        <v>86926040.254199982</v>
      </c>
      <c r="J35" s="88"/>
      <c r="K35" s="78"/>
    </row>
    <row r="36" spans="3:14" ht="19.899999999999999" customHeight="1" thickBot="1" x14ac:dyDescent="0.4">
      <c r="C36" s="49"/>
      <c r="D36" s="7"/>
      <c r="E36" s="51"/>
      <c r="F36" s="66"/>
      <c r="H36" s="68" t="s">
        <v>20</v>
      </c>
      <c r="I36" s="89">
        <v>5.5E-2</v>
      </c>
      <c r="J36" s="90"/>
      <c r="K36" s="80"/>
    </row>
    <row r="37" spans="3:14" ht="19.899999999999999" customHeight="1" x14ac:dyDescent="0.35">
      <c r="H37" s="68" t="s">
        <v>21</v>
      </c>
      <c r="I37" s="91">
        <v>35</v>
      </c>
      <c r="J37" s="92" t="s">
        <v>7</v>
      </c>
      <c r="K37" s="109">
        <f>PMT((I36/12),I37*12,-I35,0,1)*12</f>
        <v>5576126.5976777915</v>
      </c>
      <c r="N37" s="60"/>
    </row>
    <row r="38" spans="3:14" ht="19.899999999999999" customHeight="1" x14ac:dyDescent="0.35">
      <c r="H38" s="70" t="s">
        <v>8</v>
      </c>
      <c r="I38" s="389">
        <f>1-I34</f>
        <v>0.30000000000000004</v>
      </c>
      <c r="J38" s="90" t="s">
        <v>43</v>
      </c>
      <c r="K38" s="93"/>
    </row>
    <row r="39" spans="3:14" ht="19.899999999999999" customHeight="1" x14ac:dyDescent="0.35">
      <c r="D39" s="437" t="s">
        <v>44</v>
      </c>
      <c r="E39" s="438"/>
      <c r="F39" s="117">
        <f>F42/K42</f>
        <v>1.4465987134034337</v>
      </c>
      <c r="H39" s="69" t="s">
        <v>5</v>
      </c>
      <c r="I39" s="108">
        <f>J29-I35</f>
        <v>-12839875.146199971</v>
      </c>
      <c r="J39" s="90"/>
      <c r="K39" s="80"/>
    </row>
    <row r="40" spans="3:14" ht="19.899999999999999" customHeight="1" thickBot="1" x14ac:dyDescent="0.4">
      <c r="D40" s="19"/>
      <c r="E40" s="277" t="s">
        <v>45</v>
      </c>
      <c r="F40" s="117">
        <f>F42/K37</f>
        <v>1.1134974729386118</v>
      </c>
      <c r="H40" s="71" t="s">
        <v>49</v>
      </c>
      <c r="I40" s="94">
        <v>0.1</v>
      </c>
      <c r="J40" s="95" t="s">
        <v>7</v>
      </c>
      <c r="K40" s="110">
        <f>I39*I40</f>
        <v>-1283987.5146199972</v>
      </c>
    </row>
    <row r="41" spans="3:14" ht="19.899999999999999" customHeight="1" thickBot="1" x14ac:dyDescent="0.4">
      <c r="I41" s="1"/>
    </row>
    <row r="42" spans="3:14" ht="19.899999999999999" customHeight="1" thickBot="1" x14ac:dyDescent="0.4">
      <c r="C42" s="61"/>
      <c r="D42" s="62"/>
      <c r="E42" s="63" t="s">
        <v>3</v>
      </c>
      <c r="F42" s="111">
        <f>F29-F35</f>
        <v>6209002.8752999995</v>
      </c>
      <c r="G42" s="19" t="s">
        <v>31</v>
      </c>
      <c r="H42" s="64"/>
      <c r="I42" s="62"/>
      <c r="J42" s="63" t="s">
        <v>30</v>
      </c>
      <c r="K42" s="111">
        <f>SUM(K37, K40)</f>
        <v>4292139.0830577947</v>
      </c>
    </row>
    <row r="43" spans="3:14" ht="19.899999999999999" customHeight="1" x14ac:dyDescent="0.35">
      <c r="H43" s="10"/>
      <c r="I43" s="10"/>
      <c r="J43" s="10"/>
      <c r="K43" s="65"/>
    </row>
  </sheetData>
  <mergeCells count="2">
    <mergeCell ref="F20:F21"/>
    <mergeCell ref="D39:E39"/>
  </mergeCells>
  <pageMargins left="0.7" right="0.7" top="0.75" bottom="0.75" header="0.3" footer="0.3"/>
  <pageSetup scale="63" orientation="landscape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801F-BD0A-473E-A021-6EB4412BBB5F}">
  <sheetPr>
    <tabColor rgb="FF00B0F0"/>
    <pageSetUpPr fitToPage="1"/>
  </sheetPr>
  <dimension ref="B1:Q87"/>
  <sheetViews>
    <sheetView topLeftCell="A13" workbookViewId="0">
      <selection activeCell="D49" sqref="D49"/>
    </sheetView>
  </sheetViews>
  <sheetFormatPr defaultColWidth="7.75" defaultRowHeight="12.5" x14ac:dyDescent="0.25"/>
  <cols>
    <col min="1" max="1" width="2.25" style="139" customWidth="1"/>
    <col min="2" max="2" width="33.25" style="139" customWidth="1"/>
    <col min="3" max="3" width="13.75" style="139" bestFit="1" customWidth="1"/>
    <col min="4" max="4" width="11" style="139" customWidth="1"/>
    <col min="5" max="5" width="11.75" style="139" customWidth="1"/>
    <col min="6" max="6" width="12.25" style="139" customWidth="1"/>
    <col min="7" max="7" width="12.08203125" style="139" bestFit="1" customWidth="1"/>
    <col min="8" max="9" width="12.25" style="139" bestFit="1" customWidth="1"/>
    <col min="10" max="10" width="16" style="139" customWidth="1"/>
    <col min="11" max="11" width="14.25" style="139" customWidth="1"/>
    <col min="12" max="12" width="10.25" style="139" customWidth="1"/>
    <col min="13" max="13" width="7.75" style="139"/>
    <col min="14" max="14" width="9.25" style="139" customWidth="1"/>
    <col min="15" max="15" width="7.75" style="139"/>
    <col min="16" max="16" width="11.75" style="139" customWidth="1"/>
    <col min="17" max="18" width="7.75" style="139"/>
    <col min="19" max="19" width="11.25" style="139" customWidth="1"/>
    <col min="20" max="16384" width="7.75" style="139"/>
  </cols>
  <sheetData>
    <row r="1" spans="2:12" ht="15.5" x14ac:dyDescent="0.35">
      <c r="B1" s="229"/>
      <c r="K1" s="155"/>
      <c r="L1" s="228"/>
    </row>
    <row r="2" spans="2:12" ht="16" thickBot="1" x14ac:dyDescent="0.4">
      <c r="B2" s="227" t="s">
        <v>164</v>
      </c>
      <c r="C2" s="227" t="s">
        <v>163</v>
      </c>
      <c r="D2" s="225"/>
      <c r="E2" s="225"/>
      <c r="F2" s="225"/>
      <c r="G2" s="226"/>
      <c r="H2" s="225"/>
      <c r="I2" s="225"/>
      <c r="J2" s="225"/>
      <c r="K2" s="225"/>
      <c r="L2" s="225"/>
    </row>
    <row r="3" spans="2:12" x14ac:dyDescent="0.25">
      <c r="B3" s="155" t="s">
        <v>394</v>
      </c>
      <c r="G3" s="155"/>
    </row>
    <row r="4" spans="2:12" x14ac:dyDescent="0.25">
      <c r="B4" s="162"/>
      <c r="C4" s="173"/>
      <c r="D4" s="199"/>
      <c r="E4" s="199"/>
      <c r="F4" s="201" t="s">
        <v>162</v>
      </c>
      <c r="G4" s="201" t="s">
        <v>118</v>
      </c>
      <c r="H4" s="155"/>
      <c r="I4" s="224"/>
      <c r="J4" s="155" t="s">
        <v>161</v>
      </c>
    </row>
    <row r="5" spans="2:12" ht="13" x14ac:dyDescent="0.3">
      <c r="B5" s="223" t="s">
        <v>160</v>
      </c>
      <c r="C5" s="140"/>
      <c r="D5" s="157" t="s">
        <v>159</v>
      </c>
      <c r="E5" s="222"/>
      <c r="F5" s="197" t="s">
        <v>158</v>
      </c>
      <c r="G5" s="197" t="s">
        <v>158</v>
      </c>
      <c r="I5" s="221"/>
      <c r="J5" s="155" t="s">
        <v>157</v>
      </c>
    </row>
    <row r="6" spans="2:12" ht="15.5" x14ac:dyDescent="0.35">
      <c r="B6" s="218" t="s">
        <v>156</v>
      </c>
      <c r="D6" s="347">
        <v>225</v>
      </c>
      <c r="E6" s="155" t="s">
        <v>155</v>
      </c>
      <c r="F6" s="349">
        <v>50</v>
      </c>
      <c r="G6" s="220">
        <f>F6*'Construction Loan'!$E$35</f>
        <v>11</v>
      </c>
      <c r="I6" s="219"/>
      <c r="J6" s="155" t="s">
        <v>154</v>
      </c>
    </row>
    <row r="7" spans="2:12" ht="15.5" x14ac:dyDescent="0.35">
      <c r="B7" s="216" t="s">
        <v>135</v>
      </c>
      <c r="D7" s="348">
        <v>225</v>
      </c>
      <c r="E7" s="155" t="s">
        <v>149</v>
      </c>
      <c r="F7" s="350">
        <v>20</v>
      </c>
      <c r="G7" s="220">
        <f>F7*'Construction Loan'!$E$35</f>
        <v>4.4000000000000004</v>
      </c>
      <c r="I7" s="217"/>
      <c r="J7" s="155" t="s">
        <v>153</v>
      </c>
    </row>
    <row r="8" spans="2:12" x14ac:dyDescent="0.25">
      <c r="B8" s="404" t="s">
        <v>418</v>
      </c>
      <c r="D8" s="348">
        <v>200</v>
      </c>
      <c r="E8" s="155" t="s">
        <v>149</v>
      </c>
      <c r="F8" s="350">
        <v>24</v>
      </c>
      <c r="G8" s="220">
        <f>F8*'Construction Loan'!$E$35</f>
        <v>5.28</v>
      </c>
      <c r="I8" s="370"/>
      <c r="J8" s="155" t="s">
        <v>152</v>
      </c>
    </row>
    <row r="9" spans="2:12" x14ac:dyDescent="0.25">
      <c r="B9" s="214" t="str">
        <f>CONCATENATE(B34," - ",F34," NSF each")</f>
        <v xml:space="preserve">  Studio Apartment - 990 NSF each</v>
      </c>
      <c r="D9" s="348">
        <v>290</v>
      </c>
      <c r="E9" s="155" t="s">
        <v>149</v>
      </c>
      <c r="F9" s="351">
        <v>47</v>
      </c>
      <c r="G9" s="220">
        <f>F9*'Construction Loan'!$E$35</f>
        <v>10.34</v>
      </c>
      <c r="I9" s="215"/>
      <c r="J9" s="155" t="s">
        <v>151</v>
      </c>
    </row>
    <row r="10" spans="2:12" ht="15.5" x14ac:dyDescent="0.35">
      <c r="B10" s="214" t="str">
        <f>CONCATENATE(B35," - ",F35," NSF each")</f>
        <v xml:space="preserve">  One-Bedroom Apartment - 1371 NSF each</v>
      </c>
      <c r="D10" s="348">
        <v>285</v>
      </c>
      <c r="E10" s="155" t="s">
        <v>149</v>
      </c>
      <c r="F10" s="351">
        <v>45</v>
      </c>
      <c r="G10" s="220">
        <f>F10*'Construction Loan'!$E$35</f>
        <v>9.9</v>
      </c>
      <c r="I10" s="213"/>
      <c r="J10" s="155" t="s">
        <v>150</v>
      </c>
    </row>
    <row r="11" spans="2:12" x14ac:dyDescent="0.25">
      <c r="B11" s="214" t="str">
        <f>CONCATENATE(B36," - ",F36," NSF each")</f>
        <v xml:space="preserve">  Two-Bedroom Apartment - 1584 NSF each</v>
      </c>
      <c r="D11" s="348">
        <v>280</v>
      </c>
      <c r="E11" s="155" t="s">
        <v>149</v>
      </c>
      <c r="F11" s="351">
        <v>42</v>
      </c>
      <c r="G11" s="220">
        <f>F11*'Construction Loan'!$E$35</f>
        <v>9.24</v>
      </c>
    </row>
    <row r="12" spans="2:12" x14ac:dyDescent="0.25">
      <c r="B12" s="214" t="str">
        <f>CONCATENATE(B37," - ",F37," NSF each")</f>
        <v xml:space="preserve"> Three-Bedroom Apartment - 2376 NSF each</v>
      </c>
      <c r="D12" s="348">
        <v>270</v>
      </c>
      <c r="E12" s="155" t="s">
        <v>149</v>
      </c>
      <c r="F12" s="351">
        <v>40</v>
      </c>
      <c r="G12" s="220">
        <f>F12*'Construction Loan'!$E$35</f>
        <v>8.8000000000000007</v>
      </c>
    </row>
    <row r="13" spans="2:12" x14ac:dyDescent="0.25">
      <c r="B13" s="214" t="s">
        <v>442</v>
      </c>
      <c r="D13" s="348">
        <v>300</v>
      </c>
      <c r="E13" s="142" t="s">
        <v>149</v>
      </c>
      <c r="F13" s="434">
        <v>18</v>
      </c>
      <c r="G13" s="433">
        <f>0.05*F13</f>
        <v>0.9</v>
      </c>
    </row>
    <row r="14" spans="2:12" ht="15.5" x14ac:dyDescent="0.35">
      <c r="B14" s="155" t="s">
        <v>183</v>
      </c>
      <c r="D14" s="352" t="e">
        <f>SUM('Construction Loan'!J23,'Construction Loan'!#REF!:'Construction Loan'!J26)</f>
        <v>#REF!</v>
      </c>
      <c r="E14" s="155" t="s">
        <v>147</v>
      </c>
    </row>
    <row r="15" spans="2:12" x14ac:dyDescent="0.25">
      <c r="B15" s="155" t="s">
        <v>412</v>
      </c>
      <c r="D15" s="353">
        <f>SUM('Construction Loan'!J27,'Construction Loan'!J28)</f>
        <v>5058642.068</v>
      </c>
      <c r="E15" s="155"/>
    </row>
    <row r="16" spans="2:12" x14ac:dyDescent="0.25">
      <c r="B16" s="155" t="s">
        <v>148</v>
      </c>
      <c r="D16" s="354">
        <f>'Construction Loan'!F35</f>
        <v>936334.15949999995</v>
      </c>
      <c r="E16" s="155" t="s">
        <v>147</v>
      </c>
      <c r="H16" s="203"/>
    </row>
    <row r="17" spans="2:17" x14ac:dyDescent="0.25">
      <c r="B17" s="155"/>
      <c r="C17" s="155"/>
      <c r="D17" s="212"/>
      <c r="E17" s="155"/>
    </row>
    <row r="18" spans="2:17" x14ac:dyDescent="0.25">
      <c r="B18" s="199"/>
      <c r="C18" s="211" t="s">
        <v>146</v>
      </c>
      <c r="D18" s="210" t="s">
        <v>39</v>
      </c>
      <c r="E18" s="209" t="s">
        <v>145</v>
      </c>
      <c r="F18" s="205" t="s">
        <v>414</v>
      </c>
      <c r="G18" s="205" t="s">
        <v>139</v>
      </c>
      <c r="H18" s="205" t="s">
        <v>138</v>
      </c>
      <c r="I18" s="205" t="s">
        <v>415</v>
      </c>
      <c r="J18" s="201" t="s">
        <v>144</v>
      </c>
      <c r="K18" s="201" t="s">
        <v>143</v>
      </c>
      <c r="L18" s="155"/>
      <c r="M18" s="155"/>
      <c r="N18" s="155"/>
    </row>
    <row r="19" spans="2:17" ht="13" x14ac:dyDescent="0.3">
      <c r="B19" s="198" t="s">
        <v>142</v>
      </c>
      <c r="C19" s="208" t="s">
        <v>52</v>
      </c>
      <c r="D19" s="207" t="s">
        <v>141</v>
      </c>
      <c r="E19" s="206" t="s">
        <v>140</v>
      </c>
      <c r="F19" s="344">
        <f>C34</f>
        <v>0.2</v>
      </c>
      <c r="G19" s="344">
        <f>C35</f>
        <v>0.6</v>
      </c>
      <c r="H19" s="387">
        <f>C36</f>
        <v>0.08</v>
      </c>
      <c r="I19" s="344">
        <f>C37</f>
        <v>0.12</v>
      </c>
      <c r="J19" s="197" t="s">
        <v>137</v>
      </c>
      <c r="K19" s="197" t="s">
        <v>136</v>
      </c>
      <c r="M19" s="155"/>
      <c r="N19" s="155"/>
    </row>
    <row r="20" spans="2:17" ht="15.5" x14ac:dyDescent="0.35">
      <c r="B20" s="179" t="s">
        <v>135</v>
      </c>
      <c r="C20" s="355">
        <v>0</v>
      </c>
      <c r="D20" s="356">
        <v>0</v>
      </c>
      <c r="E20" s="356">
        <f>'Construction Loan'!D22</f>
        <v>12006</v>
      </c>
      <c r="F20" s="356"/>
      <c r="G20" s="356">
        <v>0</v>
      </c>
      <c r="H20" s="356">
        <v>0</v>
      </c>
      <c r="I20" s="356"/>
      <c r="J20" s="204">
        <f>SUM(C20:I20)</f>
        <v>12006</v>
      </c>
      <c r="K20" s="204">
        <f>'Construction Loan'!H16</f>
        <v>20700</v>
      </c>
      <c r="M20" s="155"/>
      <c r="N20" s="155"/>
      <c r="P20" s="382"/>
    </row>
    <row r="21" spans="2:17" ht="15.5" x14ac:dyDescent="0.35">
      <c r="B21" s="178" t="s">
        <v>134</v>
      </c>
      <c r="C21" s="357">
        <f>'Construction Loan'!D23</f>
        <v>16974</v>
      </c>
      <c r="D21" s="358">
        <v>0</v>
      </c>
      <c r="E21" s="358">
        <v>0</v>
      </c>
      <c r="F21" s="358"/>
      <c r="G21" s="358">
        <v>0</v>
      </c>
      <c r="H21" s="358">
        <v>0</v>
      </c>
      <c r="I21" s="358"/>
      <c r="J21" s="204">
        <f>SUM(C21:I21)</f>
        <v>16974</v>
      </c>
      <c r="K21" s="204">
        <f>'Construction Loan'!H15</f>
        <v>20700</v>
      </c>
      <c r="N21" s="155"/>
      <c r="P21" s="203"/>
    </row>
    <row r="22" spans="2:17" ht="15.5" x14ac:dyDescent="0.35">
      <c r="B22" s="178" t="s">
        <v>417</v>
      </c>
      <c r="C22" s="357"/>
      <c r="D22" s="358" t="e">
        <f>'Construction Loan'!#REF!</f>
        <v>#REF!</v>
      </c>
      <c r="E22" s="358"/>
      <c r="F22" s="358"/>
      <c r="G22" s="358"/>
      <c r="H22" s="358"/>
      <c r="I22" s="358"/>
      <c r="J22" s="204" t="e">
        <f>SUM(C22:I22)</f>
        <v>#REF!</v>
      </c>
      <c r="K22" s="204" t="e">
        <f>'Construction Loan'!#REF!</f>
        <v>#REF!</v>
      </c>
      <c r="N22" s="155"/>
      <c r="P22" s="203"/>
    </row>
    <row r="23" spans="2:17" ht="15.5" x14ac:dyDescent="0.35">
      <c r="B23" s="178" t="s">
        <v>416</v>
      </c>
      <c r="C23" s="359">
        <v>0</v>
      </c>
      <c r="D23" s="360">
        <v>0</v>
      </c>
      <c r="E23" s="360">
        <v>0</v>
      </c>
      <c r="F23" s="360">
        <f>'Construction Loan'!$D$24*F19</f>
        <v>23763.600000000002</v>
      </c>
      <c r="G23" s="360">
        <f>'Construction Loan'!$D$24*G19</f>
        <v>71290.8</v>
      </c>
      <c r="H23" s="360">
        <f>'Construction Loan'!$D$24*H19</f>
        <v>9505.44</v>
      </c>
      <c r="I23" s="360">
        <f>'Construction Loan'!$D$24*I19</f>
        <v>14258.16</v>
      </c>
      <c r="J23" s="204">
        <f>SUM(C23:I23)</f>
        <v>118818.00000000001</v>
      </c>
      <c r="K23" s="388">
        <f>SUM('Construction Loan'!H8:H14)</f>
        <v>144900</v>
      </c>
    </row>
    <row r="24" spans="2:17" ht="13" x14ac:dyDescent="0.3">
      <c r="B24" s="144" t="s">
        <v>133</v>
      </c>
      <c r="C24" s="188">
        <f>SUM(C21:C21)</f>
        <v>16974</v>
      </c>
      <c r="D24" s="188" t="e">
        <f t="shared" ref="D24:I24" si="0">SUM(D20:D23)</f>
        <v>#REF!</v>
      </c>
      <c r="E24" s="188">
        <f t="shared" si="0"/>
        <v>12006</v>
      </c>
      <c r="F24" s="188">
        <f t="shared" si="0"/>
        <v>23763.600000000002</v>
      </c>
      <c r="G24" s="188">
        <f t="shared" si="0"/>
        <v>71290.8</v>
      </c>
      <c r="H24" s="188">
        <f t="shared" si="0"/>
        <v>9505.44</v>
      </c>
      <c r="I24" s="188">
        <f t="shared" si="0"/>
        <v>14258.16</v>
      </c>
      <c r="J24" s="204" t="e">
        <f>SUM(C24:I24)</f>
        <v>#REF!</v>
      </c>
      <c r="K24" s="388" t="e">
        <f>SUM(K20:K23)</f>
        <v>#REF!</v>
      </c>
      <c r="L24" s="202"/>
    </row>
    <row r="25" spans="2:17" ht="15.5" x14ac:dyDescent="0.35">
      <c r="B25" s="144" t="s">
        <v>132</v>
      </c>
      <c r="C25" s="185">
        <f>C21/(J21/K21)*D6</f>
        <v>4657500</v>
      </c>
      <c r="D25" s="185" t="e">
        <f>D24/(J22/K22)*D8</f>
        <v>#REF!</v>
      </c>
      <c r="E25" s="185">
        <f>E24/(J20/K20)*D7</f>
        <v>4657500</v>
      </c>
      <c r="F25" s="185">
        <f>F23/(J23/K23)*D9</f>
        <v>8404200</v>
      </c>
      <c r="G25" s="185">
        <f>G23/(J23/K23)*D10</f>
        <v>24777900</v>
      </c>
      <c r="H25" s="185">
        <f>H23/(J23/K23)*D11</f>
        <v>3245760</v>
      </c>
      <c r="I25" s="185">
        <f>I23/(J23/K23)*D12</f>
        <v>4694760</v>
      </c>
      <c r="J25" s="188"/>
      <c r="K25" s="403" t="e">
        <f>SUM(C25:I25)</f>
        <v>#REF!</v>
      </c>
    </row>
    <row r="26" spans="2:17" x14ac:dyDescent="0.25">
      <c r="B26" s="144" t="s">
        <v>131</v>
      </c>
      <c r="J26" s="169"/>
      <c r="K26" s="236" t="e">
        <f>$D$14+$D$15</f>
        <v>#REF!</v>
      </c>
    </row>
    <row r="27" spans="2:17" x14ac:dyDescent="0.25">
      <c r="B27" s="144" t="s">
        <v>130</v>
      </c>
      <c r="J27" s="169"/>
      <c r="K27" s="236" t="e">
        <f>(K25+K26)</f>
        <v>#REF!</v>
      </c>
    </row>
    <row r="28" spans="2:17" ht="15.5" x14ac:dyDescent="0.35">
      <c r="B28" s="142" t="s">
        <v>182</v>
      </c>
      <c r="C28" s="141"/>
      <c r="D28" s="141"/>
      <c r="E28" s="141"/>
      <c r="F28" s="141"/>
      <c r="G28" s="141"/>
      <c r="H28" s="141"/>
      <c r="I28" s="140"/>
      <c r="J28" s="237" t="e">
        <f>K27/J24</f>
        <v>#REF!</v>
      </c>
      <c r="K28" s="237" t="e">
        <f>K27/K24</f>
        <v>#REF!</v>
      </c>
    </row>
    <row r="29" spans="2:17" ht="15.5" x14ac:dyDescent="0.35">
      <c r="B29" s="155"/>
      <c r="P29" s="1"/>
      <c r="Q29" s="1"/>
    </row>
    <row r="30" spans="2:17" ht="15.5" x14ac:dyDescent="0.35">
      <c r="B30" s="179"/>
      <c r="C30" s="200"/>
      <c r="D30" s="200"/>
      <c r="E30" s="200"/>
      <c r="F30" s="201" t="s">
        <v>129</v>
      </c>
      <c r="G30" s="200" t="s">
        <v>128</v>
      </c>
      <c r="H30" s="200" t="s">
        <v>127</v>
      </c>
      <c r="I30" s="200" t="s">
        <v>126</v>
      </c>
      <c r="J30" s="199"/>
      <c r="P30" s="1"/>
      <c r="Q30" s="1"/>
    </row>
    <row r="31" spans="2:17" ht="15.5" x14ac:dyDescent="0.35">
      <c r="B31" s="198" t="s">
        <v>125</v>
      </c>
      <c r="C31" s="426" t="s">
        <v>425</v>
      </c>
      <c r="D31" s="196" t="s">
        <v>124</v>
      </c>
      <c r="E31" s="197" t="s">
        <v>123</v>
      </c>
      <c r="F31" s="197" t="s">
        <v>122</v>
      </c>
      <c r="G31" s="197" t="s">
        <v>121</v>
      </c>
      <c r="H31" s="196" t="s">
        <v>120</v>
      </c>
      <c r="I31" s="197" t="s">
        <v>119</v>
      </c>
      <c r="J31" s="196" t="s">
        <v>118</v>
      </c>
      <c r="P31" s="1"/>
      <c r="Q31" s="1"/>
    </row>
    <row r="32" spans="2:17" ht="15.5" x14ac:dyDescent="0.35">
      <c r="B32" s="179" t="s">
        <v>117</v>
      </c>
      <c r="D32" s="195">
        <f>C21</f>
        <v>16974</v>
      </c>
      <c r="E32" s="193" t="s">
        <v>115</v>
      </c>
      <c r="F32" s="193" t="s">
        <v>102</v>
      </c>
      <c r="G32" s="194">
        <v>55</v>
      </c>
      <c r="H32" s="193" t="s">
        <v>102</v>
      </c>
      <c r="I32" s="192">
        <f>G32*D32</f>
        <v>933570</v>
      </c>
      <c r="J32" s="191">
        <f>D32*G6</f>
        <v>186714</v>
      </c>
      <c r="P32" s="1"/>
      <c r="Q32" s="1"/>
    </row>
    <row r="33" spans="2:12" ht="15.5" x14ac:dyDescent="0.35">
      <c r="B33" s="178" t="s">
        <v>116</v>
      </c>
      <c r="D33" s="189">
        <f>E24</f>
        <v>12006</v>
      </c>
      <c r="E33" s="187" t="s">
        <v>115</v>
      </c>
      <c r="F33" s="187" t="s">
        <v>102</v>
      </c>
      <c r="G33" s="186">
        <v>48.82</v>
      </c>
      <c r="H33" s="187" t="s">
        <v>102</v>
      </c>
      <c r="I33" s="185">
        <f>G33*D33</f>
        <v>586132.92000000004</v>
      </c>
      <c r="J33" s="184">
        <f>D33*G7</f>
        <v>52826.400000000001</v>
      </c>
    </row>
    <row r="34" spans="2:12" ht="15.5" x14ac:dyDescent="0.35">
      <c r="B34" s="178" t="s">
        <v>309</v>
      </c>
      <c r="C34" s="361">
        <v>0.2</v>
      </c>
      <c r="D34" s="362">
        <v>24</v>
      </c>
      <c r="E34" s="187" t="s">
        <v>115</v>
      </c>
      <c r="F34" s="405">
        <f>ROUND(F24/D34,0)</f>
        <v>990</v>
      </c>
      <c r="G34" s="186">
        <v>45.51</v>
      </c>
      <c r="H34" s="345">
        <v>2126</v>
      </c>
      <c r="I34" s="185">
        <f>H34*D34*12</f>
        <v>612288</v>
      </c>
      <c r="J34" s="184">
        <f>F24*G9</f>
        <v>245715.62400000001</v>
      </c>
      <c r="L34" s="188"/>
    </row>
    <row r="35" spans="2:12" ht="15.5" x14ac:dyDescent="0.35">
      <c r="B35" s="178" t="s">
        <v>114</v>
      </c>
      <c r="C35" s="361">
        <v>0.6</v>
      </c>
      <c r="D35" s="362">
        <v>52</v>
      </c>
      <c r="E35" s="187" t="s">
        <v>112</v>
      </c>
      <c r="F35" s="405">
        <f>ROUND(G24/D35,0)</f>
        <v>1371</v>
      </c>
      <c r="G35" s="186">
        <v>45.51</v>
      </c>
      <c r="H35" s="346">
        <v>2642</v>
      </c>
      <c r="I35" s="185">
        <f>H35*D35*12</f>
        <v>1648608</v>
      </c>
      <c r="J35" s="184">
        <f>G24*G10</f>
        <v>705778.92</v>
      </c>
      <c r="L35" s="188"/>
    </row>
    <row r="36" spans="2:12" ht="15.5" x14ac:dyDescent="0.35">
      <c r="B36" s="178" t="s">
        <v>113</v>
      </c>
      <c r="C36" s="361">
        <v>0.08</v>
      </c>
      <c r="D36" s="362">
        <v>6</v>
      </c>
      <c r="E36" s="187" t="s">
        <v>112</v>
      </c>
      <c r="F36" s="405">
        <f>ROUND(H24/D36,0)</f>
        <v>1584</v>
      </c>
      <c r="G36" s="186">
        <v>45.51</v>
      </c>
      <c r="H36" s="346">
        <v>3163</v>
      </c>
      <c r="I36" s="185">
        <f>H36*D36*12</f>
        <v>227736</v>
      </c>
      <c r="J36" s="184">
        <f>H24*G11</f>
        <v>87830.265600000013</v>
      </c>
      <c r="L36" s="188"/>
    </row>
    <row r="37" spans="2:12" ht="15.5" x14ac:dyDescent="0.35">
      <c r="B37" s="178" t="s">
        <v>413</v>
      </c>
      <c r="C37" s="368">
        <v>0.12</v>
      </c>
      <c r="D37" s="427">
        <v>6</v>
      </c>
      <c r="E37" s="187" t="s">
        <v>112</v>
      </c>
      <c r="F37" s="405">
        <f>ROUND(I24/D37,0)</f>
        <v>2376</v>
      </c>
      <c r="G37" s="186">
        <v>45.51</v>
      </c>
      <c r="H37" s="346">
        <v>3630</v>
      </c>
      <c r="I37" s="185">
        <f>H37*D37*12</f>
        <v>261360</v>
      </c>
      <c r="J37" s="184">
        <f>I24*G12</f>
        <v>125471.808</v>
      </c>
      <c r="L37" s="188"/>
    </row>
    <row r="38" spans="2:12" ht="15.5" x14ac:dyDescent="0.35">
      <c r="B38" s="178" t="s">
        <v>440</v>
      </c>
      <c r="C38" s="428"/>
      <c r="E38" s="187"/>
      <c r="F38" s="187"/>
      <c r="G38" s="429"/>
      <c r="I38" s="432" t="e">
        <f>'Construction Loan'!#REF!</f>
        <v>#REF!</v>
      </c>
      <c r="J38" s="184"/>
      <c r="L38" s="188"/>
    </row>
    <row r="39" spans="2:12" ht="15.5" x14ac:dyDescent="0.35">
      <c r="B39" s="181" t="s">
        <v>441</v>
      </c>
      <c r="C39" s="430">
        <f>SUM(C35:C38)</f>
        <v>0.79999999999999993</v>
      </c>
      <c r="D39" s="431">
        <f>SUM(D34:D37)</f>
        <v>88</v>
      </c>
      <c r="E39" s="176"/>
      <c r="F39" s="151"/>
      <c r="G39" s="183"/>
      <c r="H39" s="151"/>
      <c r="I39" s="432" t="e">
        <f>SUM(I32:I38)</f>
        <v>#REF!</v>
      </c>
      <c r="J39" s="150">
        <v>0</v>
      </c>
    </row>
    <row r="40" spans="2:12" x14ac:dyDescent="0.25">
      <c r="B40" s="222"/>
    </row>
    <row r="41" spans="2:12" ht="12.75" customHeight="1" x14ac:dyDescent="0.3">
      <c r="B41" s="181" t="s">
        <v>111</v>
      </c>
      <c r="C41" s="180" t="s">
        <v>110</v>
      </c>
      <c r="D41" s="180" t="s">
        <v>109</v>
      </c>
      <c r="E41" s="180" t="s">
        <v>108</v>
      </c>
      <c r="F41" s="180" t="s">
        <v>107</v>
      </c>
      <c r="G41" s="180" t="s">
        <v>106</v>
      </c>
      <c r="H41" s="180" t="s">
        <v>105</v>
      </c>
    </row>
    <row r="42" spans="2:12" x14ac:dyDescent="0.25">
      <c r="B42" s="179" t="s">
        <v>104</v>
      </c>
      <c r="C42" s="374">
        <v>0.03</v>
      </c>
      <c r="D42" s="374">
        <v>0.03</v>
      </c>
      <c r="E42" s="374">
        <v>0.03</v>
      </c>
      <c r="F42" s="374">
        <v>0.03</v>
      </c>
      <c r="G42" s="374">
        <v>0.03</v>
      </c>
      <c r="H42" s="376">
        <v>0.03</v>
      </c>
    </row>
    <row r="43" spans="2:12" x14ac:dyDescent="0.25">
      <c r="B43" s="178" t="s">
        <v>103</v>
      </c>
      <c r="C43" s="371">
        <v>0.03</v>
      </c>
      <c r="D43" s="371">
        <v>0.03</v>
      </c>
      <c r="E43" s="371">
        <v>0.03</v>
      </c>
      <c r="F43" s="371">
        <v>0.03</v>
      </c>
      <c r="G43" s="371">
        <v>0.03</v>
      </c>
      <c r="H43" s="377">
        <v>0.03</v>
      </c>
    </row>
    <row r="44" spans="2:12" x14ac:dyDescent="0.25">
      <c r="B44" s="178" t="s">
        <v>101</v>
      </c>
      <c r="C44" s="371">
        <v>0.1</v>
      </c>
      <c r="D44" s="371">
        <v>0.05</v>
      </c>
      <c r="E44" s="375">
        <f>'Construction Loan'!E28</f>
        <v>0.03</v>
      </c>
      <c r="F44" s="375">
        <f>E44</f>
        <v>0.03</v>
      </c>
      <c r="G44" s="375">
        <f t="shared" ref="G44:H44" si="1">F44</f>
        <v>0.03</v>
      </c>
      <c r="H44" s="375">
        <f t="shared" si="1"/>
        <v>0.03</v>
      </c>
    </row>
    <row r="45" spans="2:12" x14ac:dyDescent="0.25">
      <c r="B45" s="157" t="s">
        <v>100</v>
      </c>
      <c r="C45" s="372">
        <v>0.01</v>
      </c>
      <c r="D45" s="372">
        <v>0.02</v>
      </c>
      <c r="E45" s="372">
        <v>0.02</v>
      </c>
      <c r="F45" s="372">
        <v>0.02</v>
      </c>
      <c r="G45" s="372">
        <v>0.02</v>
      </c>
      <c r="H45" s="373">
        <v>0.02</v>
      </c>
    </row>
    <row r="47" spans="2:12" ht="12.75" customHeight="1" x14ac:dyDescent="0.3">
      <c r="B47" s="152" t="s">
        <v>99</v>
      </c>
      <c r="C47" s="151"/>
      <c r="D47" s="151"/>
      <c r="E47" s="150"/>
      <c r="F47" s="439" t="s">
        <v>98</v>
      </c>
      <c r="G47" s="177" t="s">
        <v>97</v>
      </c>
      <c r="H47" s="176" t="s">
        <v>20</v>
      </c>
      <c r="I47" s="176" t="s">
        <v>96</v>
      </c>
      <c r="J47" s="175" t="s">
        <v>95</v>
      </c>
    </row>
    <row r="48" spans="2:12" x14ac:dyDescent="0.25">
      <c r="B48" s="174" t="s">
        <v>94</v>
      </c>
      <c r="C48" s="161"/>
      <c r="D48" s="159">
        <v>0.85</v>
      </c>
      <c r="E48" s="173"/>
      <c r="F48" s="440"/>
      <c r="G48" s="172">
        <v>0</v>
      </c>
      <c r="H48" s="161"/>
      <c r="I48" s="161"/>
      <c r="J48" s="171" t="e">
        <f>K27*D48</f>
        <v>#REF!</v>
      </c>
    </row>
    <row r="49" spans="2:10" x14ac:dyDescent="0.25">
      <c r="B49" s="144" t="s">
        <v>93</v>
      </c>
      <c r="D49" s="363">
        <v>0.03</v>
      </c>
      <c r="E49" s="143"/>
      <c r="F49" s="440"/>
      <c r="G49" s="170">
        <v>1</v>
      </c>
      <c r="H49" s="169" t="e">
        <f>$D$52-I49</f>
        <v>#REF!</v>
      </c>
      <c r="I49" s="169" t="e">
        <f>J48-J49</f>
        <v>#REF!</v>
      </c>
      <c r="J49" s="168" t="e">
        <f>PV($D$49/$D$51,(($D$50-G49)*$D$51),-$D$52/$D$51)</f>
        <v>#REF!</v>
      </c>
    </row>
    <row r="50" spans="2:10" x14ac:dyDescent="0.25">
      <c r="B50" s="144" t="s">
        <v>92</v>
      </c>
      <c r="D50" s="364">
        <v>35</v>
      </c>
      <c r="E50" s="145" t="s">
        <v>67</v>
      </c>
      <c r="F50" s="440"/>
      <c r="G50" s="170">
        <v>2</v>
      </c>
      <c r="H50" s="169" t="e">
        <f>$D$52-I50</f>
        <v>#REF!</v>
      </c>
      <c r="I50" s="169" t="e">
        <f>J49-J50</f>
        <v>#REF!</v>
      </c>
      <c r="J50" s="168" t="e">
        <f>PV($D$49/$D$51,(($D$50-G50)*$D$51),-$D$52/$D$51)</f>
        <v>#REF!</v>
      </c>
    </row>
    <row r="51" spans="2:10" x14ac:dyDescent="0.25">
      <c r="B51" s="144" t="s">
        <v>91</v>
      </c>
      <c r="D51" s="365">
        <v>12</v>
      </c>
      <c r="E51" s="145"/>
      <c r="F51" s="440"/>
      <c r="G51" s="170">
        <v>3</v>
      </c>
      <c r="H51" s="169" t="e">
        <f>$D$52-I51</f>
        <v>#REF!</v>
      </c>
      <c r="I51" s="169" t="e">
        <f>J50-J51</f>
        <v>#REF!</v>
      </c>
      <c r="J51" s="168" t="e">
        <f>PV($D$49/$D$51,(($D$50-G51)*$D$51),-$D$52/$D$51)</f>
        <v>#REF!</v>
      </c>
    </row>
    <row r="52" spans="2:10" x14ac:dyDescent="0.25">
      <c r="B52" s="144" t="s">
        <v>90</v>
      </c>
      <c r="D52" s="169" t="e">
        <f>PMT(D49/D51,D50*D51,-J48)*12</f>
        <v>#REF!</v>
      </c>
      <c r="E52" s="143"/>
      <c r="F52" s="440"/>
      <c r="G52" s="170">
        <v>4</v>
      </c>
      <c r="H52" s="169" t="e">
        <f>$D$52-I52</f>
        <v>#REF!</v>
      </c>
      <c r="I52" s="169" t="e">
        <f>J51-J52</f>
        <v>#REF!</v>
      </c>
      <c r="J52" s="168" t="e">
        <f>PV($D$49/$D$51,(($D$50-G52)*$D$51),-$D$52/$D$51)</f>
        <v>#REF!</v>
      </c>
    </row>
    <row r="53" spans="2:10" x14ac:dyDescent="0.25">
      <c r="B53" s="144" t="s">
        <v>89</v>
      </c>
      <c r="D53" s="139">
        <v>30</v>
      </c>
      <c r="E53" s="145" t="s">
        <v>67</v>
      </c>
      <c r="F53" s="441"/>
      <c r="G53" s="167">
        <v>5</v>
      </c>
      <c r="H53" s="166" t="e">
        <f>$D$52-I53</f>
        <v>#REF!</v>
      </c>
      <c r="I53" s="166" t="e">
        <f>J52-J53</f>
        <v>#REF!</v>
      </c>
      <c r="J53" s="165" t="e">
        <f>PV($D$49/$D$51,(($D$50-G53)*$D$51),-$D$52/$D$51)</f>
        <v>#REF!</v>
      </c>
    </row>
    <row r="54" spans="2:10" x14ac:dyDescent="0.25">
      <c r="B54" s="142" t="s">
        <v>88</v>
      </c>
      <c r="C54" s="164" t="e">
        <f>D54*J48/100</f>
        <v>#REF!</v>
      </c>
      <c r="D54" s="366">
        <v>0</v>
      </c>
      <c r="E54" s="163" t="s">
        <v>87</v>
      </c>
    </row>
    <row r="55" spans="2:10" x14ac:dyDescent="0.25">
      <c r="B55" s="155"/>
    </row>
    <row r="56" spans="2:10" ht="13" x14ac:dyDescent="0.3">
      <c r="B56" s="152" t="s">
        <v>86</v>
      </c>
      <c r="C56" s="151"/>
      <c r="D56" s="151"/>
      <c r="E56" s="151"/>
      <c r="F56" s="150"/>
    </row>
    <row r="57" spans="2:10" x14ac:dyDescent="0.25">
      <c r="B57" s="162" t="s">
        <v>85</v>
      </c>
      <c r="C57" s="161"/>
      <c r="D57" s="367">
        <v>0.36</v>
      </c>
      <c r="E57" s="161"/>
      <c r="F57" s="160"/>
    </row>
    <row r="58" spans="2:10" x14ac:dyDescent="0.25">
      <c r="B58" s="146" t="s">
        <v>84</v>
      </c>
      <c r="D58" s="368">
        <v>0.25</v>
      </c>
      <c r="F58" s="158"/>
    </row>
    <row r="59" spans="2:10" x14ac:dyDescent="0.25">
      <c r="B59" s="146" t="s">
        <v>83</v>
      </c>
      <c r="D59" s="369">
        <v>0.15</v>
      </c>
      <c r="F59" s="158"/>
    </row>
    <row r="60" spans="2:10" x14ac:dyDescent="0.25">
      <c r="B60" s="149" t="s">
        <v>82</v>
      </c>
      <c r="C60" s="141"/>
      <c r="D60" s="141"/>
      <c r="E60" s="141"/>
      <c r="F60" s="140"/>
    </row>
    <row r="61" spans="2:10" x14ac:dyDescent="0.25">
      <c r="B61" s="146" t="s">
        <v>81</v>
      </c>
      <c r="D61" s="367">
        <v>0.8</v>
      </c>
      <c r="F61" s="158"/>
    </row>
    <row r="62" spans="2:10" ht="15.5" x14ac:dyDescent="0.35">
      <c r="B62" s="146" t="s">
        <v>77</v>
      </c>
      <c r="D62" s="378">
        <v>30</v>
      </c>
      <c r="E62" s="155" t="s">
        <v>67</v>
      </c>
      <c r="F62" s="143"/>
    </row>
    <row r="63" spans="2:10" x14ac:dyDescent="0.25">
      <c r="B63" s="146" t="s">
        <v>76</v>
      </c>
      <c r="D63" s="157" t="s">
        <v>75</v>
      </c>
      <c r="F63" s="156"/>
    </row>
    <row r="64" spans="2:10" x14ac:dyDescent="0.25">
      <c r="B64" s="149" t="s">
        <v>80</v>
      </c>
      <c r="C64" s="141"/>
      <c r="D64" s="141"/>
      <c r="E64" s="141"/>
      <c r="F64" s="140"/>
    </row>
    <row r="65" spans="2:6" x14ac:dyDescent="0.25">
      <c r="B65" s="146" t="s">
        <v>79</v>
      </c>
      <c r="D65" s="155" t="s">
        <v>78</v>
      </c>
      <c r="F65" s="156"/>
    </row>
    <row r="66" spans="2:6" x14ac:dyDescent="0.25">
      <c r="B66" s="146" t="s">
        <v>77</v>
      </c>
      <c r="D66" s="370">
        <v>7</v>
      </c>
      <c r="E66" s="155" t="s">
        <v>67</v>
      </c>
      <c r="F66" s="143"/>
    </row>
    <row r="67" spans="2:6" x14ac:dyDescent="0.25">
      <c r="B67" s="149" t="s">
        <v>76</v>
      </c>
      <c r="C67" s="141"/>
      <c r="D67" s="154" t="s">
        <v>75</v>
      </c>
      <c r="E67" s="141"/>
      <c r="F67" s="153"/>
    </row>
    <row r="69" spans="2:6" ht="13" x14ac:dyDescent="0.3">
      <c r="B69" s="152" t="s">
        <v>74</v>
      </c>
      <c r="C69" s="151"/>
      <c r="D69" s="151"/>
      <c r="E69" s="150"/>
    </row>
    <row r="70" spans="2:6" x14ac:dyDescent="0.25">
      <c r="B70" s="149" t="s">
        <v>73</v>
      </c>
      <c r="C70" s="141"/>
      <c r="D70" s="379">
        <v>0.1</v>
      </c>
      <c r="E70" s="140"/>
    </row>
    <row r="71" spans="2:6" x14ac:dyDescent="0.25">
      <c r="B71" s="146" t="s">
        <v>72</v>
      </c>
      <c r="D71" s="148">
        <v>0.8</v>
      </c>
      <c r="E71" s="147" t="s">
        <v>71</v>
      </c>
    </row>
    <row r="72" spans="2:6" x14ac:dyDescent="0.25">
      <c r="B72" s="144" t="s">
        <v>70</v>
      </c>
      <c r="D72" s="380">
        <v>0.14000000000000001</v>
      </c>
      <c r="E72" s="380">
        <v>0.16</v>
      </c>
    </row>
    <row r="73" spans="2:6" x14ac:dyDescent="0.25">
      <c r="B73" s="144" t="s">
        <v>69</v>
      </c>
      <c r="D73" s="381">
        <v>0.1075</v>
      </c>
      <c r="E73" s="381">
        <v>0.125</v>
      </c>
    </row>
    <row r="74" spans="2:6" x14ac:dyDescent="0.25">
      <c r="B74" s="146" t="s">
        <v>68</v>
      </c>
      <c r="D74" s="139">
        <v>30</v>
      </c>
      <c r="E74" s="145" t="s">
        <v>67</v>
      </c>
    </row>
    <row r="75" spans="2:6" x14ac:dyDescent="0.25">
      <c r="B75" s="144" t="s">
        <v>66</v>
      </c>
      <c r="D75" s="380">
        <v>0.05</v>
      </c>
      <c r="E75" s="143"/>
    </row>
    <row r="76" spans="2:6" x14ac:dyDescent="0.25">
      <c r="B76" s="142" t="s">
        <v>65</v>
      </c>
      <c r="C76" s="141"/>
      <c r="D76" s="381">
        <v>0.02</v>
      </c>
      <c r="E76" s="140"/>
    </row>
    <row r="78" spans="2:6" ht="15.5" x14ac:dyDescent="0.35">
      <c r="B78" s="390" t="s">
        <v>419</v>
      </c>
      <c r="C78" s="391"/>
      <c r="D78" s="392"/>
    </row>
    <row r="79" spans="2:6" ht="15.5" x14ac:dyDescent="0.35">
      <c r="B79" s="393" t="s">
        <v>428</v>
      </c>
      <c r="C79"/>
      <c r="D79" s="416">
        <v>2.8000000000000001E-2</v>
      </c>
    </row>
    <row r="80" spans="2:6" ht="15.5" x14ac:dyDescent="0.35">
      <c r="B80" s="393" t="s">
        <v>420</v>
      </c>
      <c r="C80"/>
      <c r="D80" s="407">
        <v>3.5000000000000003E-2</v>
      </c>
    </row>
    <row r="81" spans="2:4" ht="15.5" x14ac:dyDescent="0.35">
      <c r="B81" s="393" t="s">
        <v>421</v>
      </c>
      <c r="C81"/>
      <c r="D81" s="408">
        <v>0.6</v>
      </c>
    </row>
    <row r="82" spans="2:4" ht="15.5" x14ac:dyDescent="0.35">
      <c r="B82" s="393" t="s">
        <v>198</v>
      </c>
      <c r="C82"/>
      <c r="D82" s="409">
        <v>0.02</v>
      </c>
    </row>
    <row r="83" spans="2:4" ht="15.5" x14ac:dyDescent="0.35">
      <c r="B83" s="394" t="s">
        <v>422</v>
      </c>
      <c r="C83" s="395"/>
      <c r="D83" s="410">
        <v>0.03</v>
      </c>
    </row>
    <row r="84" spans="2:4" ht="15.5" x14ac:dyDescent="0.35">
      <c r="B84"/>
      <c r="C84"/>
      <c r="D84"/>
    </row>
    <row r="85" spans="2:4" ht="15.5" x14ac:dyDescent="0.35">
      <c r="B85" s="390" t="s">
        <v>423</v>
      </c>
      <c r="C85" s="391"/>
      <c r="D85" s="392"/>
    </row>
    <row r="86" spans="2:4" ht="15.5" x14ac:dyDescent="0.35">
      <c r="B86" s="396" t="s">
        <v>56</v>
      </c>
      <c r="C86" s="232"/>
      <c r="D86" s="411">
        <f>D39</f>
        <v>88</v>
      </c>
    </row>
    <row r="87" spans="2:4" ht="15.5" x14ac:dyDescent="0.35">
      <c r="B87" s="394" t="s">
        <v>424</v>
      </c>
      <c r="C87" s="395"/>
      <c r="D87" s="412">
        <v>5.5E-2</v>
      </c>
    </row>
  </sheetData>
  <mergeCells count="1">
    <mergeCell ref="F47:F53"/>
  </mergeCells>
  <pageMargins left="0.7" right="0.7" top="0.75" bottom="0.75" header="0.3" footer="0.3"/>
  <pageSetup scale="52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C27A-D946-44A4-A4BE-0AF277208343}">
  <sheetPr>
    <tabColor theme="5"/>
    <pageSetUpPr fitToPage="1"/>
  </sheetPr>
  <dimension ref="B1:H50"/>
  <sheetViews>
    <sheetView workbookViewId="0">
      <selection activeCell="F27" sqref="F27"/>
    </sheetView>
  </sheetViews>
  <sheetFormatPr defaultColWidth="8.08203125" defaultRowHeight="12.5" x14ac:dyDescent="0.25"/>
  <cols>
    <col min="1" max="1" width="2.5" style="295" customWidth="1"/>
    <col min="2" max="2" width="31" style="295" customWidth="1"/>
    <col min="3" max="8" width="11.58203125" style="295" customWidth="1"/>
    <col min="9" max="16384" width="8.08203125" style="295"/>
  </cols>
  <sheetData>
    <row r="1" spans="2:8" ht="15.5" x14ac:dyDescent="0.35">
      <c r="B1" s="309"/>
      <c r="H1" s="309"/>
    </row>
    <row r="2" spans="2:8" ht="16" thickBot="1" x14ac:dyDescent="0.4">
      <c r="B2" s="308" t="str">
        <f>CONCATENATE('Pro Forma'!B3," - Estimates of Annual Cash Flows ")</f>
        <v xml:space="preserve">Crown Heights - Estimates of Annual Cash Flows </v>
      </c>
      <c r="C2" s="308"/>
      <c r="D2" s="306"/>
      <c r="E2" s="306"/>
      <c r="F2" s="306"/>
      <c r="G2" s="307"/>
      <c r="H2" s="306"/>
    </row>
    <row r="4" spans="2:8" ht="13" x14ac:dyDescent="0.3">
      <c r="B4" s="302" t="s">
        <v>335</v>
      </c>
      <c r="C4" s="305" t="s">
        <v>110</v>
      </c>
      <c r="D4" s="316" t="s">
        <v>109</v>
      </c>
      <c r="E4" s="305" t="s">
        <v>108</v>
      </c>
      <c r="F4" s="316" t="s">
        <v>107</v>
      </c>
      <c r="G4" s="305" t="s">
        <v>106</v>
      </c>
      <c r="H4" s="316" t="s">
        <v>105</v>
      </c>
    </row>
    <row r="5" spans="2:8" ht="15.5" x14ac:dyDescent="0.35">
      <c r="B5" s="301" t="s">
        <v>336</v>
      </c>
      <c r="C5" s="312">
        <f t="shared" ref="C5:H5" si="0">C13/C12</f>
        <v>0.1</v>
      </c>
      <c r="D5" s="312">
        <f t="shared" si="0"/>
        <v>5.000000000000001E-2</v>
      </c>
      <c r="E5" s="312">
        <f t="shared" si="0"/>
        <v>0.03</v>
      </c>
      <c r="F5" s="312">
        <f t="shared" si="0"/>
        <v>0.03</v>
      </c>
      <c r="G5" s="312">
        <f t="shared" si="0"/>
        <v>0.03</v>
      </c>
      <c r="H5" s="312">
        <f t="shared" si="0"/>
        <v>0.03</v>
      </c>
    </row>
    <row r="6" spans="2:8" ht="15.5" x14ac:dyDescent="0.35">
      <c r="B6" s="301" t="s">
        <v>337</v>
      </c>
      <c r="C6" s="312">
        <f>C17/C15</f>
        <v>0.15857980414352815</v>
      </c>
      <c r="D6" s="312">
        <f t="shared" ref="D6:H6" si="1">D17/D15</f>
        <v>0.15023349866228985</v>
      </c>
      <c r="E6" s="312">
        <f t="shared" si="1"/>
        <v>0.14713590075172717</v>
      </c>
      <c r="F6" s="312">
        <f t="shared" si="1"/>
        <v>0.14713590075172717</v>
      </c>
      <c r="G6" s="312">
        <f t="shared" si="1"/>
        <v>0.14713590075172719</v>
      </c>
      <c r="H6" s="312">
        <f t="shared" si="1"/>
        <v>0.14713590075172719</v>
      </c>
    </row>
    <row r="7" spans="2:8" ht="15.5" x14ac:dyDescent="0.35">
      <c r="B7" s="301" t="s">
        <v>338</v>
      </c>
      <c r="C7" s="312">
        <f t="shared" ref="C7:H7" si="2">C18/C15</f>
        <v>0.84142019585647188</v>
      </c>
      <c r="D7" s="312">
        <f t="shared" si="2"/>
        <v>0.84976650133771015</v>
      </c>
      <c r="E7" s="312">
        <f t="shared" si="2"/>
        <v>0.85286409924827278</v>
      </c>
      <c r="F7" s="312">
        <f t="shared" si="2"/>
        <v>0.85286409924827289</v>
      </c>
      <c r="G7" s="312">
        <f t="shared" si="2"/>
        <v>0.85286409924827278</v>
      </c>
      <c r="H7" s="312">
        <f t="shared" si="2"/>
        <v>0.85286409924827278</v>
      </c>
    </row>
    <row r="8" spans="2:8" x14ac:dyDescent="0.25">
      <c r="B8" s="301" t="s">
        <v>339</v>
      </c>
      <c r="C8" s="317" t="e">
        <f>C22/C24</f>
        <v>#REF!</v>
      </c>
      <c r="D8" s="317" t="e">
        <f>D22/D24</f>
        <v>#REF!</v>
      </c>
      <c r="E8" s="317" t="e">
        <f>E22/E24</f>
        <v>#REF!</v>
      </c>
      <c r="F8" s="317" t="e">
        <f>F22/F24</f>
        <v>#REF!</v>
      </c>
      <c r="G8" s="317" t="e">
        <f>G22/G24</f>
        <v>#REF!</v>
      </c>
      <c r="H8" s="318" t="s">
        <v>102</v>
      </c>
    </row>
    <row r="10" spans="2:8" ht="13" x14ac:dyDescent="0.3">
      <c r="B10" s="302" t="s">
        <v>340</v>
      </c>
      <c r="C10" s="305" t="s">
        <v>110</v>
      </c>
      <c r="D10" s="316" t="s">
        <v>109</v>
      </c>
      <c r="E10" s="305" t="s">
        <v>108</v>
      </c>
      <c r="F10" s="316" t="s">
        <v>107</v>
      </c>
      <c r="G10" s="305" t="s">
        <v>106</v>
      </c>
      <c r="H10" s="316" t="s">
        <v>105</v>
      </c>
    </row>
    <row r="12" spans="2:8" ht="15.5" x14ac:dyDescent="0.35">
      <c r="B12" s="295" t="s">
        <v>33</v>
      </c>
      <c r="C12" s="185">
        <f>'Construction Loan'!F26</f>
        <v>6757370.0999999996</v>
      </c>
      <c r="D12" s="185">
        <f>C12*(1+'Pro Forma'!D42)</f>
        <v>6960091.2029999997</v>
      </c>
      <c r="E12" s="185">
        <f>D12*(1+'Pro Forma'!E42)</f>
        <v>7168893.9390899995</v>
      </c>
      <c r="F12" s="185">
        <f>E12*(1+'Pro Forma'!F42)</f>
        <v>7383960.7572626993</v>
      </c>
      <c r="G12" s="185">
        <f>F12*(1+'Pro Forma'!G42)</f>
        <v>7605479.5799805801</v>
      </c>
      <c r="H12" s="185">
        <f>IFERROR(G12*(1+'Pro Forma'!H42),)</f>
        <v>7833643.9673799975</v>
      </c>
    </row>
    <row r="13" spans="2:8" ht="15.5" x14ac:dyDescent="0.35">
      <c r="B13" s="295" t="s">
        <v>341</v>
      </c>
      <c r="C13" s="185">
        <f>C12*'Pro Forma'!C$44</f>
        <v>675737.01</v>
      </c>
      <c r="D13" s="185">
        <f>D12*'Pro Forma'!D$44</f>
        <v>348004.56015000003</v>
      </c>
      <c r="E13" s="185">
        <f>E12*'Pro Forma'!E$44</f>
        <v>215066.81817269998</v>
      </c>
      <c r="F13" s="185">
        <f>F12*'Pro Forma'!F$44</f>
        <v>221518.82271788098</v>
      </c>
      <c r="G13" s="185">
        <f>G12*'Pro Forma'!G$44</f>
        <v>228164.38739941741</v>
      </c>
      <c r="H13" s="185">
        <f>IFERROR(H12*'Pro Forma'!H$44,)</f>
        <v>235009.31902139992</v>
      </c>
    </row>
    <row r="14" spans="2:8" ht="15.5" x14ac:dyDescent="0.35">
      <c r="B14" s="295" t="s">
        <v>342</v>
      </c>
      <c r="C14" s="182"/>
      <c r="D14" s="182">
        <f>C14*(1+'Pro Forma'!D42)</f>
        <v>0</v>
      </c>
      <c r="E14" s="182">
        <f>D14*(1+'Pro Forma'!E42)</f>
        <v>0</v>
      </c>
      <c r="F14" s="182">
        <f>E14*(1+'Pro Forma'!F42)</f>
        <v>0</v>
      </c>
      <c r="G14" s="182">
        <f>F14*(1+'Pro Forma'!G42)</f>
        <v>0</v>
      </c>
      <c r="H14" s="182">
        <f>IFERROR(G14*(1+'Pro Forma'!H42),)</f>
        <v>0</v>
      </c>
    </row>
    <row r="15" spans="2:8" ht="15.5" x14ac:dyDescent="0.35">
      <c r="B15" s="295" t="s">
        <v>343</v>
      </c>
      <c r="C15" s="185">
        <f t="shared" ref="C15:H15" si="3">C12-C13+C14</f>
        <v>6081633.0899999999</v>
      </c>
      <c r="D15" s="185">
        <f t="shared" si="3"/>
        <v>6612086.6428499995</v>
      </c>
      <c r="E15" s="185">
        <f t="shared" si="3"/>
        <v>6953827.1209172998</v>
      </c>
      <c r="F15" s="185">
        <f t="shared" si="3"/>
        <v>7162441.9345448185</v>
      </c>
      <c r="G15" s="185">
        <f t="shared" si="3"/>
        <v>7377315.1925811628</v>
      </c>
      <c r="H15" s="185">
        <f t="shared" si="3"/>
        <v>7598634.6483585974</v>
      </c>
    </row>
    <row r="17" spans="2:8" ht="15.5" x14ac:dyDescent="0.35">
      <c r="B17" s="295" t="s">
        <v>360</v>
      </c>
      <c r="C17" s="185">
        <f>'Construction Loan'!$F$35*(1+'Pro Forma'!C43)</f>
        <v>964424.18428499997</v>
      </c>
      <c r="D17" s="185">
        <f>C17*(1+'Pro Forma'!D43)</f>
        <v>993356.90981354995</v>
      </c>
      <c r="E17" s="185">
        <f>D17*(1+'Pro Forma'!E43)</f>
        <v>1023157.6171079564</v>
      </c>
      <c r="F17" s="185">
        <f>E17*(1+'Pro Forma'!F43)</f>
        <v>1053852.3456211952</v>
      </c>
      <c r="G17" s="185">
        <f>F17*(1+'Pro Forma'!G43)</f>
        <v>1085467.9159898311</v>
      </c>
      <c r="H17" s="185">
        <f>IFERROR(G17*(1+'Pro Forma'!H43),)</f>
        <v>1118031.953469526</v>
      </c>
    </row>
    <row r="18" spans="2:8" ht="15.5" x14ac:dyDescent="0.35">
      <c r="B18" s="295" t="s">
        <v>344</v>
      </c>
      <c r="C18" s="185">
        <f>C15-C17</f>
        <v>5117208.9057149999</v>
      </c>
      <c r="D18" s="185">
        <f t="shared" ref="D18:H18" si="4">D15-D17</f>
        <v>5618729.7330364492</v>
      </c>
      <c r="E18" s="185">
        <f t="shared" si="4"/>
        <v>5930669.5038093431</v>
      </c>
      <c r="F18" s="185">
        <f t="shared" si="4"/>
        <v>6108589.5889236238</v>
      </c>
      <c r="G18" s="185">
        <f t="shared" si="4"/>
        <v>6291847.2765913317</v>
      </c>
      <c r="H18" s="185">
        <f t="shared" si="4"/>
        <v>6480602.6948890714</v>
      </c>
    </row>
    <row r="20" spans="2:8" ht="15.5" x14ac:dyDescent="0.35">
      <c r="B20" s="301" t="s">
        <v>345</v>
      </c>
      <c r="C20" s="185">
        <f>C15*'Pro Forma'!C45</f>
        <v>60816.330900000001</v>
      </c>
      <c r="D20" s="185">
        <f>D15*'Pro Forma'!D45</f>
        <v>132241.732857</v>
      </c>
      <c r="E20" s="185">
        <f>E15*'Pro Forma'!E45</f>
        <v>139076.54241834598</v>
      </c>
      <c r="F20" s="185">
        <f>F15*'Pro Forma'!F45</f>
        <v>143248.83869089637</v>
      </c>
      <c r="G20" s="185">
        <f>G15*'Pro Forma'!G45</f>
        <v>147546.30385162326</v>
      </c>
    </row>
    <row r="21" spans="2:8" ht="15.5" x14ac:dyDescent="0.35">
      <c r="B21" s="295" t="s">
        <v>346</v>
      </c>
      <c r="C21" s="314">
        <v>0</v>
      </c>
      <c r="D21" s="314">
        <v>0</v>
      </c>
      <c r="E21" s="314">
        <v>0</v>
      </c>
      <c r="F21" s="314">
        <v>0</v>
      </c>
      <c r="G21" s="314">
        <v>0</v>
      </c>
    </row>
    <row r="22" spans="2:8" ht="15.5" x14ac:dyDescent="0.35">
      <c r="B22" s="295" t="s">
        <v>347</v>
      </c>
      <c r="C22" s="185">
        <f>C18-C20-C21</f>
        <v>5056392.5748149995</v>
      </c>
      <c r="D22" s="185">
        <f>D18-D20-D21</f>
        <v>5486488.0001794491</v>
      </c>
      <c r="E22" s="185">
        <f>E18-E20-E21</f>
        <v>5791592.9613909973</v>
      </c>
      <c r="F22" s="185">
        <f>F18-F20-F21</f>
        <v>5965340.7502327273</v>
      </c>
      <c r="G22" s="185">
        <f>G18-G20-G21</f>
        <v>6144300.9727397086</v>
      </c>
      <c r="H22" s="185"/>
    </row>
    <row r="24" spans="2:8" ht="15.5" x14ac:dyDescent="0.35">
      <c r="B24" s="295" t="s">
        <v>334</v>
      </c>
      <c r="C24" s="182" t="e">
        <f>'Pro Forma'!$D$52</f>
        <v>#REF!</v>
      </c>
      <c r="D24" s="182" t="e">
        <f>'Pro Forma'!$D$52</f>
        <v>#REF!</v>
      </c>
      <c r="E24" s="182" t="e">
        <f>'Pro Forma'!$D$52</f>
        <v>#REF!</v>
      </c>
      <c r="F24" s="182" t="e">
        <f>'Pro Forma'!$D$52</f>
        <v>#REF!</v>
      </c>
      <c r="G24" s="182" t="e">
        <f>'Pro Forma'!$D$52</f>
        <v>#REF!</v>
      </c>
    </row>
    <row r="25" spans="2:8" ht="15.5" x14ac:dyDescent="0.35">
      <c r="B25" s="295" t="s">
        <v>348</v>
      </c>
      <c r="C25" s="185" t="e">
        <f>C22-C24</f>
        <v>#REF!</v>
      </c>
      <c r="D25" s="185" t="e">
        <f>D22-D24</f>
        <v>#REF!</v>
      </c>
      <c r="E25" s="185" t="e">
        <f>E22-E24</f>
        <v>#REF!</v>
      </c>
      <c r="F25" s="185" t="e">
        <f>F22-F24</f>
        <v>#REF!</v>
      </c>
      <c r="G25" s="185" t="e">
        <f>G22-G24</f>
        <v>#REF!</v>
      </c>
    </row>
    <row r="27" spans="2:8" ht="15.5" x14ac:dyDescent="0.35">
      <c r="B27" s="295" t="s">
        <v>349</v>
      </c>
      <c r="C27" s="182" t="e">
        <f>C41</f>
        <v>#REF!</v>
      </c>
      <c r="D27" s="182" t="e">
        <f>D41</f>
        <v>#REF!</v>
      </c>
      <c r="E27" s="182" t="e">
        <f>E41</f>
        <v>#REF!</v>
      </c>
      <c r="F27" s="182" t="e">
        <f>F41</f>
        <v>#REF!</v>
      </c>
      <c r="G27" s="182" t="e">
        <f>G41</f>
        <v>#REF!</v>
      </c>
    </row>
    <row r="28" spans="2:8" ht="16" thickBot="1" x14ac:dyDescent="0.4">
      <c r="B28" s="295" t="s">
        <v>350</v>
      </c>
      <c r="C28" s="313" t="e">
        <f>C25-C27</f>
        <v>#REF!</v>
      </c>
      <c r="D28" s="313" t="e">
        <f>D25-D27</f>
        <v>#REF!</v>
      </c>
      <c r="E28" s="313" t="e">
        <f>E25-E27</f>
        <v>#REF!</v>
      </c>
      <c r="F28" s="313" t="e">
        <f>F25-F27</f>
        <v>#REF!</v>
      </c>
      <c r="G28" s="313" t="e">
        <f>G25-G27</f>
        <v>#REF!</v>
      </c>
    </row>
    <row r="29" spans="2:8" ht="13" thickTop="1" x14ac:dyDescent="0.25"/>
    <row r="30" spans="2:8" ht="13" x14ac:dyDescent="0.3">
      <c r="B30" s="302" t="s">
        <v>351</v>
      </c>
      <c r="C30" s="305" t="s">
        <v>110</v>
      </c>
      <c r="D30" s="316" t="s">
        <v>109</v>
      </c>
      <c r="E30" s="305" t="s">
        <v>108</v>
      </c>
      <c r="F30" s="316" t="s">
        <v>107</v>
      </c>
      <c r="G30" s="305" t="s">
        <v>106</v>
      </c>
    </row>
    <row r="32" spans="2:8" ht="15.5" x14ac:dyDescent="0.35">
      <c r="B32" s="301" t="s">
        <v>333</v>
      </c>
      <c r="C32" s="185">
        <f>C22</f>
        <v>5056392.5748149995</v>
      </c>
      <c r="D32" s="185">
        <f>D22</f>
        <v>5486488.0001794491</v>
      </c>
      <c r="E32" s="185">
        <f>E22</f>
        <v>5791592.9613909973</v>
      </c>
      <c r="F32" s="185">
        <f>F22</f>
        <v>5965340.7502327273</v>
      </c>
      <c r="G32" s="185">
        <f>G22</f>
        <v>6144300.9727397086</v>
      </c>
    </row>
    <row r="33" spans="2:7" ht="15.5" x14ac:dyDescent="0.35">
      <c r="B33" s="301" t="s">
        <v>352</v>
      </c>
      <c r="C33" s="185">
        <f>C20</f>
        <v>60816.330900000001</v>
      </c>
      <c r="D33" s="185">
        <f>D20</f>
        <v>132241.732857</v>
      </c>
      <c r="E33" s="185">
        <f>E20</f>
        <v>139076.54241834598</v>
      </c>
      <c r="F33" s="185">
        <f>F20</f>
        <v>143248.83869089637</v>
      </c>
      <c r="G33" s="185">
        <f>G20</f>
        <v>147546.30385162326</v>
      </c>
    </row>
    <row r="34" spans="2:7" ht="15.5" x14ac:dyDescent="0.35">
      <c r="B34" s="301" t="s">
        <v>353</v>
      </c>
      <c r="C34" s="185" t="e">
        <f>'Pro Forma'!$H49</f>
        <v>#REF!</v>
      </c>
      <c r="D34" s="185" t="e">
        <f>'Pro Forma'!$H50</f>
        <v>#REF!</v>
      </c>
      <c r="E34" s="185" t="e">
        <f>'Pro Forma'!$H51</f>
        <v>#REF!</v>
      </c>
      <c r="F34" s="185" t="e">
        <f>'Pro Forma'!$H52</f>
        <v>#REF!</v>
      </c>
      <c r="G34" s="185" t="e">
        <f>'Pro Forma'!$H53</f>
        <v>#REF!</v>
      </c>
    </row>
    <row r="35" spans="2:7" ht="15.5" x14ac:dyDescent="0.35">
      <c r="B35" s="301" t="s">
        <v>354</v>
      </c>
      <c r="C35" s="185">
        <f>'Construction Loan'!J29*'Pro Forma'!D61/'Pro Forma'!D62</f>
        <v>2155876.8914133334</v>
      </c>
      <c r="D35" s="185">
        <f>C35</f>
        <v>2155876.8914133334</v>
      </c>
      <c r="E35" s="185">
        <f>D35</f>
        <v>2155876.8914133334</v>
      </c>
      <c r="F35" s="185">
        <f>E35</f>
        <v>2155876.8914133334</v>
      </c>
      <c r="G35" s="185">
        <f>F35</f>
        <v>2155876.8914133334</v>
      </c>
    </row>
    <row r="36" spans="2:7" ht="15.5" x14ac:dyDescent="0.35">
      <c r="B36" s="301" t="s">
        <v>355</v>
      </c>
      <c r="C36" s="185">
        <f>C33/'Pro Forma'!D66</f>
        <v>8688.0472714285715</v>
      </c>
      <c r="D36" s="185">
        <f>SUM(C33:D33)/'Pro Forma'!D66</f>
        <v>27579.723393857141</v>
      </c>
      <c r="E36" s="185">
        <f>SUM(C33:E33)/'Pro Forma'!D66</f>
        <v>47447.800882192278</v>
      </c>
      <c r="F36" s="185">
        <f>SUM(C33:F33)/'Pro Forma'!D66</f>
        <v>67911.920695177483</v>
      </c>
      <c r="G36" s="185">
        <f>SUM(C33:G33)/'Pro Forma'!D66</f>
        <v>88989.964102552243</v>
      </c>
    </row>
    <row r="37" spans="2:7" ht="15.5" x14ac:dyDescent="0.35">
      <c r="B37" s="301" t="s">
        <v>356</v>
      </c>
      <c r="C37" s="182" t="e">
        <f>'Pro Forma'!C54/'Pro Forma'!D53</f>
        <v>#REF!</v>
      </c>
      <c r="D37" s="182" t="e">
        <f>C37</f>
        <v>#REF!</v>
      </c>
      <c r="E37" s="182" t="e">
        <f>D37</f>
        <v>#REF!</v>
      </c>
      <c r="F37" s="182" t="e">
        <f>E37</f>
        <v>#REF!</v>
      </c>
      <c r="G37" s="182" t="e">
        <f>'Pro Forma'!C54-SUM('Annual Cash Flow'!C37:F37)</f>
        <v>#REF!</v>
      </c>
    </row>
    <row r="38" spans="2:7" ht="16" thickBot="1" x14ac:dyDescent="0.4">
      <c r="B38" s="295" t="s">
        <v>357</v>
      </c>
      <c r="C38" s="313" t="e">
        <f>C32+C33-C34-C35-C36-C37</f>
        <v>#REF!</v>
      </c>
      <c r="D38" s="313" t="e">
        <f>D32+D33-D34-D35-D36-D37</f>
        <v>#REF!</v>
      </c>
      <c r="E38" s="313" t="e">
        <f>E32+E33-E34-E35-E36-E37</f>
        <v>#REF!</v>
      </c>
      <c r="F38" s="313" t="e">
        <f>F32+F33-F34-F35-F36-F37</f>
        <v>#REF!</v>
      </c>
      <c r="G38" s="313" t="e">
        <f>G32+G33-G34-G35-G36-G37</f>
        <v>#REF!</v>
      </c>
    </row>
    <row r="39" spans="2:7" ht="13" thickTop="1" x14ac:dyDescent="0.25"/>
    <row r="40" spans="2:7" x14ac:dyDescent="0.25">
      <c r="B40" s="301" t="s">
        <v>358</v>
      </c>
      <c r="C40" s="315">
        <f>'Pro Forma'!$D$57</f>
        <v>0.36</v>
      </c>
      <c r="D40" s="315">
        <f>C40</f>
        <v>0.36</v>
      </c>
      <c r="E40" s="315">
        <f>D40</f>
        <v>0.36</v>
      </c>
      <c r="F40" s="315">
        <f>E40</f>
        <v>0.36</v>
      </c>
      <c r="G40" s="315">
        <f>F40</f>
        <v>0.36</v>
      </c>
    </row>
    <row r="41" spans="2:7" ht="16" thickBot="1" x14ac:dyDescent="0.4">
      <c r="B41" s="295" t="s">
        <v>359</v>
      </c>
      <c r="C41" s="313" t="e">
        <f>C38*C40</f>
        <v>#REF!</v>
      </c>
      <c r="D41" s="313" t="e">
        <f>D38*D40</f>
        <v>#REF!</v>
      </c>
      <c r="E41" s="313" t="e">
        <f>E38*E40</f>
        <v>#REF!</v>
      </c>
      <c r="F41" s="313" t="e">
        <f>F38*F40</f>
        <v>#REF!</v>
      </c>
      <c r="G41" s="313" t="e">
        <f>G38*G40</f>
        <v>#REF!</v>
      </c>
    </row>
    <row r="42" spans="2:7" ht="13" thickTop="1" x14ac:dyDescent="0.25"/>
    <row r="49" spans="2:4" x14ac:dyDescent="0.25">
      <c r="B49" s="301"/>
    </row>
    <row r="50" spans="2:4" x14ac:dyDescent="0.25">
      <c r="B50" s="301"/>
      <c r="D50" s="296"/>
    </row>
  </sheetData>
  <pageMargins left="0.75" right="0.75" top="1" bottom="1" header="0.5" footer="0.5"/>
  <pageSetup scale="8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543B-F4A5-4804-A6EB-EC7CAF94AD60}">
  <sheetPr>
    <tabColor theme="5"/>
    <pageSetUpPr fitToPage="1"/>
  </sheetPr>
  <dimension ref="B1:H47"/>
  <sheetViews>
    <sheetView workbookViewId="0">
      <selection activeCell="D8" sqref="D8"/>
    </sheetView>
  </sheetViews>
  <sheetFormatPr defaultColWidth="8.08203125" defaultRowHeight="12.5" x14ac:dyDescent="0.25"/>
  <cols>
    <col min="1" max="1" width="2.5" style="319" customWidth="1"/>
    <col min="2" max="2" width="39.33203125" style="319" customWidth="1"/>
    <col min="3" max="3" width="8.08203125" style="319"/>
    <col min="4" max="4" width="12.58203125" style="319" customWidth="1"/>
    <col min="5" max="5" width="2.5" style="319" customWidth="1"/>
    <col min="6" max="6" width="31.58203125" style="319" customWidth="1"/>
    <col min="7" max="7" width="8.08203125" style="319"/>
    <col min="8" max="8" width="12.58203125" style="319" customWidth="1"/>
    <col min="9" max="16384" width="8.08203125" style="319"/>
  </cols>
  <sheetData>
    <row r="1" spans="2:8" ht="15.5" x14ac:dyDescent="0.35">
      <c r="B1" s="329">
        <v>0</v>
      </c>
      <c r="H1" s="329"/>
    </row>
    <row r="2" spans="2:8" ht="16" thickBot="1" x14ac:dyDescent="0.4">
      <c r="B2" s="328" t="str">
        <f>CONCATENATE('Pro Forma'!B3," - Estimate of Cash Flows from Sale at End of Holding Period ")</f>
        <v xml:space="preserve">Crown Heights - Estimate of Cash Flows from Sale at End of Holding Period </v>
      </c>
      <c r="C2" s="328"/>
      <c r="D2" s="327"/>
      <c r="E2" s="327"/>
      <c r="F2" s="327"/>
      <c r="G2" s="327"/>
      <c r="H2" s="327"/>
    </row>
    <row r="4" spans="2:8" ht="13" x14ac:dyDescent="0.3">
      <c r="B4" s="324" t="s">
        <v>393</v>
      </c>
    </row>
    <row r="6" spans="2:8" ht="13" x14ac:dyDescent="0.3">
      <c r="B6" s="324" t="s">
        <v>392</v>
      </c>
      <c r="F6" s="324" t="s">
        <v>391</v>
      </c>
    </row>
    <row r="7" spans="2:8" ht="15.5" x14ac:dyDescent="0.35">
      <c r="B7" s="319" t="s">
        <v>390</v>
      </c>
      <c r="D7" s="185">
        <f>'Annual Cash Flow'!H18</f>
        <v>6480602.6948890714</v>
      </c>
      <c r="F7" s="319" t="str">
        <f>B14</f>
        <v>Net Sale Proceeds</v>
      </c>
      <c r="H7" s="323">
        <f>D14</f>
        <v>127019812.81982578</v>
      </c>
    </row>
    <row r="8" spans="2:8" x14ac:dyDescent="0.25">
      <c r="B8" s="319" t="s">
        <v>389</v>
      </c>
      <c r="D8" s="326">
        <f>'Pro Forma'!D75</f>
        <v>0.05</v>
      </c>
      <c r="F8" s="319" t="s">
        <v>388</v>
      </c>
      <c r="H8" s="322">
        <f>D23</f>
        <v>70448311.263305992</v>
      </c>
    </row>
    <row r="9" spans="2:8" ht="15.5" x14ac:dyDescent="0.35">
      <c r="B9" s="319" t="s">
        <v>387</v>
      </c>
      <c r="D9" s="185">
        <f>D7/D8</f>
        <v>129612053.89778142</v>
      </c>
      <c r="F9" s="319" t="s">
        <v>386</v>
      </c>
      <c r="H9" s="323">
        <f>H7-H8</f>
        <v>56571501.556519791</v>
      </c>
    </row>
    <row r="10" spans="2:8" ht="15.5" x14ac:dyDescent="0.35">
      <c r="B10" s="319" t="s">
        <v>385</v>
      </c>
      <c r="D10" s="182">
        <f>D9*'Pro Forma'!D76</f>
        <v>2592241.0779556283</v>
      </c>
      <c r="F10" s="319" t="s">
        <v>384</v>
      </c>
      <c r="H10" s="322">
        <f>D20+D22</f>
        <v>11020001.913411874</v>
      </c>
    </row>
    <row r="11" spans="2:8" ht="15.5" x14ac:dyDescent="0.35">
      <c r="B11" s="319" t="s">
        <v>383</v>
      </c>
      <c r="D11" s="185">
        <f>D9-D10</f>
        <v>127019812.81982578</v>
      </c>
      <c r="F11" s="319" t="s">
        <v>382</v>
      </c>
      <c r="H11" s="323">
        <f>H9-H10</f>
        <v>45551499.643107921</v>
      </c>
    </row>
    <row r="13" spans="2:8" ht="13" x14ac:dyDescent="0.3">
      <c r="B13" s="324" t="s">
        <v>381</v>
      </c>
      <c r="F13" s="319" t="s">
        <v>380</v>
      </c>
      <c r="H13" s="323">
        <f>H10</f>
        <v>11020001.913411874</v>
      </c>
    </row>
    <row r="14" spans="2:8" ht="15.5" x14ac:dyDescent="0.35">
      <c r="B14" s="319" t="s">
        <v>379</v>
      </c>
      <c r="D14" s="185">
        <f>D11</f>
        <v>127019812.81982578</v>
      </c>
      <c r="F14" s="319" t="s">
        <v>378</v>
      </c>
      <c r="H14" s="325">
        <f>'Pro Forma'!D58</f>
        <v>0.25</v>
      </c>
    </row>
    <row r="15" spans="2:8" ht="15.5" x14ac:dyDescent="0.35">
      <c r="B15" s="319" t="s">
        <v>377</v>
      </c>
      <c r="D15" s="182" t="e">
        <f>'Pro Forma'!J53</f>
        <v>#REF!</v>
      </c>
      <c r="F15" s="319" t="s">
        <v>376</v>
      </c>
      <c r="H15" s="323">
        <f>H13*H14</f>
        <v>2755000.4783529686</v>
      </c>
    </row>
    <row r="16" spans="2:8" ht="15.5" x14ac:dyDescent="0.35">
      <c r="B16" s="319" t="s">
        <v>375</v>
      </c>
      <c r="D16" s="185" t="e">
        <f>D14-D15</f>
        <v>#REF!</v>
      </c>
    </row>
    <row r="17" spans="2:8" x14ac:dyDescent="0.25">
      <c r="F17" s="319" t="s">
        <v>374</v>
      </c>
      <c r="H17" s="323">
        <f>H11</f>
        <v>45551499.643107921</v>
      </c>
    </row>
    <row r="18" spans="2:8" ht="13" x14ac:dyDescent="0.3">
      <c r="B18" s="324" t="s">
        <v>373</v>
      </c>
      <c r="F18" s="319" t="s">
        <v>372</v>
      </c>
      <c r="H18" s="325">
        <f>'Pro Forma'!D59</f>
        <v>0.15</v>
      </c>
    </row>
    <row r="19" spans="2:8" ht="15.5" x14ac:dyDescent="0.35">
      <c r="B19" s="319" t="s">
        <v>329</v>
      </c>
      <c r="D19" s="185">
        <f>'Construction Loan'!J29</f>
        <v>80845383.428000003</v>
      </c>
      <c r="F19" s="319" t="s">
        <v>371</v>
      </c>
      <c r="H19" s="322">
        <f>H17*H18</f>
        <v>6832724.9464661879</v>
      </c>
    </row>
    <row r="20" spans="2:8" ht="15.5" x14ac:dyDescent="0.35">
      <c r="B20" s="319" t="s">
        <v>370</v>
      </c>
      <c r="D20" s="185">
        <f>SUM('Annual Cash Flow'!C35:G35)</f>
        <v>10779384.457066666</v>
      </c>
      <c r="F20" s="319" t="s">
        <v>369</v>
      </c>
      <c r="H20" s="323">
        <f>H19+H15</f>
        <v>9587725.4248191565</v>
      </c>
    </row>
    <row r="21" spans="2:8" ht="15.5" x14ac:dyDescent="0.35">
      <c r="B21" s="319" t="s">
        <v>368</v>
      </c>
      <c r="D21" s="185">
        <f>SUM('Annual Cash Flow'!C33:G33)</f>
        <v>622929.74871786567</v>
      </c>
    </row>
    <row r="22" spans="2:8" ht="15.5" x14ac:dyDescent="0.35">
      <c r="B22" s="319" t="s">
        <v>367</v>
      </c>
      <c r="D22" s="182">
        <f>SUM('Annual Cash Flow'!C36:G36)</f>
        <v>240617.45634520773</v>
      </c>
      <c r="F22" s="324" t="s">
        <v>366</v>
      </c>
    </row>
    <row r="23" spans="2:8" ht="15.5" x14ac:dyDescent="0.35">
      <c r="B23" s="319" t="s">
        <v>365</v>
      </c>
      <c r="D23" s="185">
        <f>D19-D20+D21-D22</f>
        <v>70448311.263305992</v>
      </c>
      <c r="F23" s="319" t="s">
        <v>364</v>
      </c>
      <c r="H23" s="323" t="e">
        <f>D16</f>
        <v>#REF!</v>
      </c>
    </row>
    <row r="24" spans="2:8" x14ac:dyDescent="0.25">
      <c r="F24" s="319" t="s">
        <v>363</v>
      </c>
      <c r="H24" s="322">
        <f>H20</f>
        <v>9587725.4248191565</v>
      </c>
    </row>
    <row r="25" spans="2:8" ht="13" thickBot="1" x14ac:dyDescent="0.3">
      <c r="F25" s="319" t="s">
        <v>362</v>
      </c>
      <c r="H25" s="321" t="e">
        <f>H23-H24</f>
        <v>#REF!</v>
      </c>
    </row>
    <row r="26" spans="2:8" ht="13" thickTop="1" x14ac:dyDescent="0.25"/>
    <row r="47" spans="4:4" x14ac:dyDescent="0.25">
      <c r="D47" s="320"/>
    </row>
  </sheetData>
  <pageMargins left="0.7" right="0.7" top="0.75" bottom="0.75" header="0.3" footer="0.3"/>
  <pageSetup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56EFC-6450-4B3F-90DE-B2C8C8D3C7AC}">
  <sheetPr>
    <tabColor theme="5"/>
    <pageSetUpPr fitToPage="1"/>
  </sheetPr>
  <dimension ref="B1:P48"/>
  <sheetViews>
    <sheetView zoomScalePageLayoutView="90" workbookViewId="0">
      <selection activeCell="G16" sqref="G16"/>
    </sheetView>
  </sheetViews>
  <sheetFormatPr defaultColWidth="7.75" defaultRowHeight="12.5" x14ac:dyDescent="0.25"/>
  <cols>
    <col min="1" max="1" width="2.33203125" style="295" customWidth="1"/>
    <col min="2" max="2" width="7.75" style="295"/>
    <col min="3" max="3" width="16.08203125" style="295" customWidth="1"/>
    <col min="4" max="4" width="12.5" style="295" customWidth="1"/>
    <col min="5" max="11" width="12" style="295" customWidth="1"/>
    <col min="12" max="12" width="20.58203125" style="295" bestFit="1" customWidth="1"/>
    <col min="13" max="16384" width="7.75" style="295"/>
  </cols>
  <sheetData>
    <row r="1" spans="2:12" ht="15.5" x14ac:dyDescent="0.35">
      <c r="B1" s="309"/>
      <c r="K1" s="309"/>
    </row>
    <row r="2" spans="2:12" ht="16" thickBot="1" x14ac:dyDescent="0.4">
      <c r="B2" s="308" t="s">
        <v>332</v>
      </c>
      <c r="C2" s="306"/>
      <c r="D2" s="306"/>
      <c r="E2" s="306"/>
      <c r="F2" s="306"/>
      <c r="G2" s="307"/>
      <c r="H2" s="306"/>
      <c r="I2" s="306"/>
      <c r="J2" s="306"/>
      <c r="K2" s="306"/>
    </row>
    <row r="4" spans="2:12" x14ac:dyDescent="0.25">
      <c r="F4" s="305" t="s">
        <v>331</v>
      </c>
      <c r="G4" s="305" t="s">
        <v>110</v>
      </c>
      <c r="H4" s="305" t="s">
        <v>109</v>
      </c>
      <c r="I4" s="305" t="s">
        <v>108</v>
      </c>
      <c r="J4" s="305" t="s">
        <v>107</v>
      </c>
      <c r="K4" s="305" t="s">
        <v>106</v>
      </c>
    </row>
    <row r="5" spans="2:12" ht="13" x14ac:dyDescent="0.3">
      <c r="B5" s="302" t="s">
        <v>330</v>
      </c>
    </row>
    <row r="6" spans="2:12" x14ac:dyDescent="0.25">
      <c r="C6" s="295" t="s">
        <v>329</v>
      </c>
      <c r="F6" s="300">
        <f>-'Construction Loan'!J29</f>
        <v>-80845383.428000003</v>
      </c>
      <c r="G6" s="300"/>
      <c r="H6" s="300"/>
      <c r="I6" s="300"/>
      <c r="J6" s="300"/>
      <c r="K6" s="300"/>
    </row>
    <row r="7" spans="2:12" x14ac:dyDescent="0.25">
      <c r="C7" s="295" t="s">
        <v>328</v>
      </c>
      <c r="F7" s="300"/>
      <c r="G7" s="300">
        <f>'Annual Cash Flow'!C22</f>
        <v>5056392.5748149995</v>
      </c>
      <c r="H7" s="300">
        <f>'Annual Cash Flow'!D22</f>
        <v>5486488.0001794491</v>
      </c>
      <c r="I7" s="300">
        <f>'Annual Cash Flow'!E22</f>
        <v>5791592.9613909973</v>
      </c>
      <c r="J7" s="300">
        <f>'Annual Cash Flow'!F22</f>
        <v>5965340.7502327273</v>
      </c>
      <c r="K7" s="300">
        <f>'Annual Cash Flow'!G22</f>
        <v>6144300.9727397086</v>
      </c>
    </row>
    <row r="8" spans="2:12" x14ac:dyDescent="0.25">
      <c r="C8" s="295" t="s">
        <v>327</v>
      </c>
      <c r="F8" s="299"/>
      <c r="G8" s="299"/>
      <c r="H8" s="299"/>
      <c r="I8" s="299"/>
      <c r="J8" s="299"/>
      <c r="K8" s="299">
        <f>'Annual Cash Flow'!H18/'Pro Forma'!D75</f>
        <v>129612053.89778142</v>
      </c>
      <c r="L8" s="311"/>
    </row>
    <row r="9" spans="2:12" ht="13" thickBot="1" x14ac:dyDescent="0.3">
      <c r="C9" s="295" t="s">
        <v>312</v>
      </c>
      <c r="F9" s="298">
        <f t="shared" ref="F9:K9" si="0">SUM(F6:F8)</f>
        <v>-80845383.428000003</v>
      </c>
      <c r="G9" s="298">
        <f t="shared" si="0"/>
        <v>5056392.5748149995</v>
      </c>
      <c r="H9" s="298">
        <f t="shared" si="0"/>
        <v>5486488.0001794491</v>
      </c>
      <c r="I9" s="298">
        <f t="shared" si="0"/>
        <v>5791592.9613909973</v>
      </c>
      <c r="J9" s="298">
        <f t="shared" si="0"/>
        <v>5965340.7502327273</v>
      </c>
      <c r="K9" s="298">
        <f t="shared" si="0"/>
        <v>135756354.87052113</v>
      </c>
    </row>
    <row r="10" spans="2:12" ht="16.5" thickTop="1" thickBot="1" x14ac:dyDescent="0.4">
      <c r="D10" s="295" t="s">
        <v>326</v>
      </c>
      <c r="F10" s="304"/>
      <c r="G10" s="303">
        <f>-G7/$F$9</f>
        <v>6.2543986563168036E-2</v>
      </c>
      <c r="H10" s="303">
        <f>-H7/$F$9</f>
        <v>6.7863961645573165E-2</v>
      </c>
      <c r="I10" s="303">
        <f>-I7/$F$9</f>
        <v>7.163789341847733E-2</v>
      </c>
      <c r="J10" s="303">
        <f>-J7/$F$9</f>
        <v>7.3787030221031641E-2</v>
      </c>
      <c r="K10" s="303">
        <f>-K7/$F$9</f>
        <v>7.6000641127662596E-2</v>
      </c>
    </row>
    <row r="11" spans="2:12" x14ac:dyDescent="0.25">
      <c r="D11" s="330" t="s">
        <v>395</v>
      </c>
      <c r="E11" s="413">
        <f>NPV(0.1,G9:K9)+F9</f>
        <v>21005357.688842267</v>
      </c>
    </row>
    <row r="12" spans="2:12" ht="13" thickBot="1" x14ac:dyDescent="0.3">
      <c r="D12" s="332" t="s">
        <v>310</v>
      </c>
      <c r="E12" s="414">
        <f>IRR(F9:K9)</f>
        <v>0.15753836191073134</v>
      </c>
    </row>
    <row r="14" spans="2:12" ht="13" x14ac:dyDescent="0.3">
      <c r="B14" s="302" t="s">
        <v>325</v>
      </c>
    </row>
    <row r="15" spans="2:12" x14ac:dyDescent="0.25">
      <c r="C15" s="295" t="s">
        <v>320</v>
      </c>
      <c r="F15" s="300">
        <f>-'Construction Loan'!I39</f>
        <v>-16169076.685599998</v>
      </c>
      <c r="G15" s="300"/>
      <c r="H15" s="300"/>
      <c r="I15" s="300"/>
      <c r="J15" s="300"/>
      <c r="K15" s="300"/>
    </row>
    <row r="16" spans="2:12" x14ac:dyDescent="0.25">
      <c r="C16" s="301" t="s">
        <v>324</v>
      </c>
      <c r="F16" s="300"/>
      <c r="G16" s="300" t="e">
        <f>G7-G35</f>
        <v>#REF!</v>
      </c>
      <c r="H16" s="300" t="e">
        <f>H7-H35</f>
        <v>#REF!</v>
      </c>
      <c r="I16" s="300" t="e">
        <f>I7-I35</f>
        <v>#REF!</v>
      </c>
      <c r="J16" s="300" t="e">
        <f>J7-J35</f>
        <v>#REF!</v>
      </c>
      <c r="K16" s="300" t="e">
        <f>K7-K35</f>
        <v>#REF!</v>
      </c>
    </row>
    <row r="17" spans="2:11" x14ac:dyDescent="0.25">
      <c r="C17" s="301" t="s">
        <v>361</v>
      </c>
      <c r="F17" s="300"/>
      <c r="G17" s="300"/>
      <c r="H17" s="300"/>
      <c r="I17" s="300"/>
      <c r="J17" s="300"/>
      <c r="K17" s="300">
        <f>-Reversion!D10</f>
        <v>-2592241.0779556283</v>
      </c>
    </row>
    <row r="18" spans="2:11" x14ac:dyDescent="0.25">
      <c r="C18" s="301" t="s">
        <v>323</v>
      </c>
      <c r="F18" s="299"/>
      <c r="G18" s="299"/>
      <c r="H18" s="299"/>
      <c r="I18" s="299"/>
      <c r="J18" s="299"/>
      <c r="K18" s="299" t="e">
        <f>Reversion!D16</f>
        <v>#REF!</v>
      </c>
    </row>
    <row r="19" spans="2:11" ht="13" thickBot="1" x14ac:dyDescent="0.3">
      <c r="C19" s="295" t="s">
        <v>312</v>
      </c>
      <c r="F19" s="298">
        <f t="shared" ref="F19:J19" si="1">SUM(F15:F18)</f>
        <v>-16169076.685599998</v>
      </c>
      <c r="G19" s="298" t="e">
        <f t="shared" si="1"/>
        <v>#REF!</v>
      </c>
      <c r="H19" s="298" t="e">
        <f t="shared" si="1"/>
        <v>#REF!</v>
      </c>
      <c r="I19" s="298" t="e">
        <f>SUM(I15:I18)</f>
        <v>#REF!</v>
      </c>
      <c r="J19" s="298" t="e">
        <f t="shared" si="1"/>
        <v>#REF!</v>
      </c>
      <c r="K19" s="298" t="e">
        <f>SUM(K15:K18)</f>
        <v>#REF!</v>
      </c>
    </row>
    <row r="20" spans="2:11" ht="16.5" thickTop="1" thickBot="1" x14ac:dyDescent="0.4">
      <c r="D20" s="301" t="s">
        <v>322</v>
      </c>
      <c r="F20" s="304"/>
      <c r="G20" s="303" t="e">
        <f>-G16/$F$19</f>
        <v>#REF!</v>
      </c>
      <c r="H20" s="303" t="e">
        <f>-H16/$F$19</f>
        <v>#REF!</v>
      </c>
      <c r="I20" s="303" t="e">
        <f>-I16/$F$19</f>
        <v>#REF!</v>
      </c>
      <c r="J20" s="303" t="e">
        <f>-J16/$F$19</f>
        <v>#REF!</v>
      </c>
      <c r="K20" s="303" t="e">
        <f>-K16/$F$19</f>
        <v>#REF!</v>
      </c>
    </row>
    <row r="21" spans="2:11" x14ac:dyDescent="0.25">
      <c r="D21" s="334" t="s">
        <v>396</v>
      </c>
      <c r="E21" s="331">
        <v>6640627.5148579516</v>
      </c>
    </row>
    <row r="22" spans="2:11" ht="13" thickBot="1" x14ac:dyDescent="0.3">
      <c r="D22" s="332" t="s">
        <v>310</v>
      </c>
      <c r="E22" s="333" t="e">
        <f>IRR(F19:K19)</f>
        <v>#VALUE!</v>
      </c>
    </row>
    <row r="24" spans="2:11" ht="13" x14ac:dyDescent="0.3">
      <c r="B24" s="302" t="s">
        <v>321</v>
      </c>
    </row>
    <row r="25" spans="2:11" x14ac:dyDescent="0.25">
      <c r="C25" s="295" t="s">
        <v>320</v>
      </c>
      <c r="F25" s="300">
        <f>F15</f>
        <v>-16169076.685599998</v>
      </c>
      <c r="G25" s="300"/>
      <c r="H25" s="300"/>
      <c r="I25" s="300"/>
      <c r="J25" s="300"/>
      <c r="K25" s="300"/>
    </row>
    <row r="26" spans="2:11" x14ac:dyDescent="0.25">
      <c r="C26" s="301" t="s">
        <v>319</v>
      </c>
      <c r="F26" s="300"/>
      <c r="G26" s="300" t="e">
        <f>'Annual Cash Flow'!C28</f>
        <v>#REF!</v>
      </c>
      <c r="H26" s="300" t="e">
        <f>'Annual Cash Flow'!D28</f>
        <v>#REF!</v>
      </c>
      <c r="I26" s="300" t="e">
        <f>'Annual Cash Flow'!E28</f>
        <v>#REF!</v>
      </c>
      <c r="J26" s="300" t="e">
        <f>'Annual Cash Flow'!F28</f>
        <v>#REF!</v>
      </c>
      <c r="K26" s="300" t="e">
        <f>'Annual Cash Flow'!G28</f>
        <v>#REF!</v>
      </c>
    </row>
    <row r="27" spans="2:11" x14ac:dyDescent="0.25">
      <c r="C27" s="301" t="s">
        <v>318</v>
      </c>
      <c r="F27" s="299"/>
      <c r="G27" s="299"/>
      <c r="H27" s="299"/>
      <c r="I27" s="299"/>
      <c r="J27" s="299"/>
      <c r="K27" s="299" t="e">
        <f>Reversion!H25</f>
        <v>#REF!</v>
      </c>
    </row>
    <row r="28" spans="2:11" ht="13" thickBot="1" x14ac:dyDescent="0.3">
      <c r="C28" s="295" t="s">
        <v>312</v>
      </c>
      <c r="F28" s="298">
        <f t="shared" ref="F28:K28" si="2">SUM(F25:F27)</f>
        <v>-16169076.685599998</v>
      </c>
      <c r="G28" s="298" t="e">
        <f t="shared" si="2"/>
        <v>#REF!</v>
      </c>
      <c r="H28" s="298" t="e">
        <f t="shared" si="2"/>
        <v>#REF!</v>
      </c>
      <c r="I28" s="298" t="e">
        <f t="shared" si="2"/>
        <v>#REF!</v>
      </c>
      <c r="J28" s="298" t="e">
        <f t="shared" si="2"/>
        <v>#REF!</v>
      </c>
      <c r="K28" s="298" t="e">
        <f t="shared" si="2"/>
        <v>#REF!</v>
      </c>
    </row>
    <row r="29" spans="2:11" ht="16.5" thickTop="1" thickBot="1" x14ac:dyDescent="0.4">
      <c r="D29" s="301" t="s">
        <v>317</v>
      </c>
      <c r="F29" s="304"/>
      <c r="G29" s="303" t="e">
        <f>-G26/$F$19</f>
        <v>#REF!</v>
      </c>
      <c r="H29" s="303" t="e">
        <f>-H26/$F$19</f>
        <v>#REF!</v>
      </c>
      <c r="I29" s="303" t="e">
        <f>-I26/$F$19</f>
        <v>#REF!</v>
      </c>
      <c r="J29" s="303" t="e">
        <f>-J26/$F$19</f>
        <v>#REF!</v>
      </c>
      <c r="K29" s="303" t="e">
        <f>-K26/$F$19</f>
        <v>#REF!</v>
      </c>
    </row>
    <row r="30" spans="2:11" x14ac:dyDescent="0.25">
      <c r="D30" s="330" t="s">
        <v>397</v>
      </c>
      <c r="E30" s="331">
        <v>6789515.1539296769</v>
      </c>
    </row>
    <row r="31" spans="2:11" ht="13" thickBot="1" x14ac:dyDescent="0.3">
      <c r="D31" s="332" t="s">
        <v>310</v>
      </c>
      <c r="E31" s="333" t="e">
        <f>IRR(F28:K28)</f>
        <v>#VALUE!</v>
      </c>
    </row>
    <row r="33" spans="2:16" ht="13" x14ac:dyDescent="0.3">
      <c r="B33" s="302" t="s">
        <v>316</v>
      </c>
    </row>
    <row r="34" spans="2:16" x14ac:dyDescent="0.25">
      <c r="C34" s="301" t="s">
        <v>315</v>
      </c>
      <c r="F34" s="300" t="e">
        <f>-('Pro Forma'!J48+'Pro Forma'!C54)</f>
        <v>#REF!</v>
      </c>
      <c r="G34" s="300"/>
      <c r="H34" s="300"/>
      <c r="I34" s="300"/>
      <c r="J34" s="300"/>
      <c r="K34" s="300"/>
    </row>
    <row r="35" spans="2:16" x14ac:dyDescent="0.25">
      <c r="C35" s="295" t="s">
        <v>314</v>
      </c>
      <c r="F35" s="300"/>
      <c r="G35" s="300" t="e">
        <f>'Pro Forma'!D52</f>
        <v>#REF!</v>
      </c>
      <c r="H35" s="300" t="e">
        <f>G35</f>
        <v>#REF!</v>
      </c>
      <c r="I35" s="300" t="e">
        <f>H35</f>
        <v>#REF!</v>
      </c>
      <c r="J35" s="300" t="e">
        <f>I35</f>
        <v>#REF!</v>
      </c>
      <c r="K35" s="300" t="e">
        <f>J35</f>
        <v>#REF!</v>
      </c>
    </row>
    <row r="36" spans="2:16" x14ac:dyDescent="0.25">
      <c r="C36" s="295" t="s">
        <v>313</v>
      </c>
      <c r="F36" s="299"/>
      <c r="G36" s="299"/>
      <c r="H36" s="299"/>
      <c r="I36" s="299"/>
      <c r="J36" s="299"/>
      <c r="K36" s="299" t="e">
        <f>'Pro Forma'!J53</f>
        <v>#REF!</v>
      </c>
    </row>
    <row r="37" spans="2:16" ht="13" thickBot="1" x14ac:dyDescent="0.3">
      <c r="C37" s="295" t="s">
        <v>312</v>
      </c>
      <c r="F37" s="298" t="e">
        <f t="shared" ref="F37:K37" si="3">SUM(F34:F36)</f>
        <v>#REF!</v>
      </c>
      <c r="G37" s="298" t="e">
        <f t="shared" si="3"/>
        <v>#REF!</v>
      </c>
      <c r="H37" s="298" t="e">
        <f t="shared" si="3"/>
        <v>#REF!</v>
      </c>
      <c r="I37" s="298" t="e">
        <f t="shared" si="3"/>
        <v>#REF!</v>
      </c>
      <c r="J37" s="298" t="e">
        <f t="shared" si="3"/>
        <v>#REF!</v>
      </c>
      <c r="K37" s="298" t="e">
        <f t="shared" si="3"/>
        <v>#REF!</v>
      </c>
    </row>
    <row r="38" spans="2:16" ht="16.5" thickTop="1" thickBot="1" x14ac:dyDescent="0.4">
      <c r="D38" s="295" t="s">
        <v>311</v>
      </c>
      <c r="G38" s="297" t="e">
        <f>G7/G35</f>
        <v>#REF!</v>
      </c>
      <c r="H38" s="297" t="e">
        <f>H7/H35</f>
        <v>#REF!</v>
      </c>
      <c r="I38" s="297" t="e">
        <f>I7/I35</f>
        <v>#REF!</v>
      </c>
      <c r="J38" s="297" t="e">
        <f>J7/J35</f>
        <v>#REF!</v>
      </c>
      <c r="K38" s="297" t="e">
        <f>K7/K35</f>
        <v>#REF!</v>
      </c>
      <c r="L38" s="297"/>
      <c r="M38" s="297"/>
      <c r="N38" s="297"/>
      <c r="O38" s="297"/>
      <c r="P38" s="297"/>
    </row>
    <row r="39" spans="2:16" ht="13" thickBot="1" x14ac:dyDescent="0.3">
      <c r="D39" s="335" t="s">
        <v>310</v>
      </c>
      <c r="E39" s="336" t="e">
        <f>IRR(F37:K37)</f>
        <v>#VALUE!</v>
      </c>
    </row>
    <row r="42" spans="2:16" x14ac:dyDescent="0.25">
      <c r="G42" s="300"/>
      <c r="H42" s="300"/>
      <c r="I42" s="300"/>
      <c r="J42" s="300"/>
      <c r="K42" s="300"/>
    </row>
    <row r="46" spans="2:16" x14ac:dyDescent="0.25">
      <c r="F46" s="300"/>
      <c r="G46" s="300"/>
      <c r="H46" s="300"/>
      <c r="I46" s="300"/>
      <c r="J46" s="300"/>
      <c r="K46" s="300"/>
    </row>
    <row r="47" spans="2:16" x14ac:dyDescent="0.25">
      <c r="D47" s="296"/>
      <c r="G47" s="300"/>
      <c r="H47" s="300"/>
      <c r="I47" s="300"/>
      <c r="J47" s="300"/>
      <c r="K47" s="300"/>
    </row>
    <row r="48" spans="2:16" x14ac:dyDescent="0.25">
      <c r="G48" s="300"/>
      <c r="H48" s="300"/>
      <c r="I48" s="300"/>
      <c r="J48" s="300"/>
      <c r="K48" s="300"/>
    </row>
  </sheetData>
  <pageMargins left="0.75" right="0.75" top="1" bottom="1" header="0.5" footer="0.5"/>
  <pageSetup scale="8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D9809-96E3-4763-982E-1F5363F50FAB}">
  <sheetPr>
    <tabColor rgb="FF00B0F0"/>
  </sheetPr>
  <dimension ref="A1:BN138"/>
  <sheetViews>
    <sheetView zoomScaleNormal="100" zoomScalePageLayoutView="125" workbookViewId="0">
      <selection activeCell="D19" sqref="D19"/>
    </sheetView>
  </sheetViews>
  <sheetFormatPr defaultColWidth="7.75" defaultRowHeight="14.5" x14ac:dyDescent="0.35"/>
  <cols>
    <col min="1" max="1" width="8.75" style="239" bestFit="1" customWidth="1"/>
    <col min="2" max="2" width="7.75" style="239"/>
    <col min="3" max="3" width="24.83203125" style="239" customWidth="1"/>
    <col min="4" max="4" width="12.25" style="239" customWidth="1"/>
    <col min="5" max="5" width="12.75" style="239" customWidth="1"/>
    <col min="6" max="6" width="11.75" style="239" customWidth="1"/>
    <col min="7" max="7" width="13.75" style="239" customWidth="1"/>
    <col min="8" max="8" width="17.75" style="239" customWidth="1"/>
    <col min="9" max="9" width="21.75" style="239" customWidth="1"/>
    <col min="10" max="10" width="8.25" style="239" bestFit="1" customWidth="1"/>
    <col min="11" max="11" width="14.25" style="239" customWidth="1"/>
    <col min="12" max="12" width="11.83203125" style="239" customWidth="1"/>
    <col min="13" max="13" width="12.25" style="239" customWidth="1"/>
    <col min="14" max="14" width="9.75" style="239" customWidth="1"/>
    <col min="15" max="16384" width="7.75" style="239"/>
  </cols>
  <sheetData>
    <row r="1" spans="1:11" ht="18.5" x14ac:dyDescent="0.45">
      <c r="A1" s="238" t="s">
        <v>186</v>
      </c>
      <c r="B1" s="238"/>
      <c r="C1" s="238"/>
      <c r="D1" s="238" t="s">
        <v>241</v>
      </c>
      <c r="E1" s="238"/>
      <c r="F1" s="238"/>
      <c r="G1" s="238"/>
      <c r="H1" s="238" t="s">
        <v>254</v>
      </c>
      <c r="I1" s="238"/>
    </row>
    <row r="2" spans="1:11" x14ac:dyDescent="0.35">
      <c r="D2" s="240" t="s">
        <v>187</v>
      </c>
    </row>
    <row r="3" spans="1:11" x14ac:dyDescent="0.35">
      <c r="D3" s="240"/>
    </row>
    <row r="4" spans="1:11" ht="18.5" x14ac:dyDescent="0.45">
      <c r="A4" s="238" t="s">
        <v>188</v>
      </c>
      <c r="H4" s="238" t="s">
        <v>243</v>
      </c>
    </row>
    <row r="5" spans="1:11" ht="15.5" x14ac:dyDescent="0.35">
      <c r="A5" s="241" t="s">
        <v>242</v>
      </c>
      <c r="B5" s="241"/>
    </row>
    <row r="7" spans="1:11" ht="18.5" x14ac:dyDescent="0.45">
      <c r="A7" s="239" t="s">
        <v>189</v>
      </c>
      <c r="B7" s="241"/>
      <c r="D7" s="242">
        <f>SUM(K7*0.2)</f>
        <v>456435</v>
      </c>
      <c r="E7" s="239" t="s">
        <v>190</v>
      </c>
      <c r="J7" s="243" t="s">
        <v>191</v>
      </c>
      <c r="K7" s="244">
        <f>SUM('Construction Loan'!J24:J24)*0.035</f>
        <v>2282175</v>
      </c>
    </row>
    <row r="8" spans="1:11" x14ac:dyDescent="0.35">
      <c r="A8" s="239" t="s">
        <v>192</v>
      </c>
      <c r="D8" s="242">
        <f>SUM('Construction Loan'!J23)*0.05</f>
        <v>100000</v>
      </c>
    </row>
    <row r="9" spans="1:11" x14ac:dyDescent="0.35">
      <c r="A9" s="239" t="s">
        <v>193</v>
      </c>
      <c r="D9" s="242">
        <f>SUM('Soft Costs'!D5)*0.5</f>
        <v>25000</v>
      </c>
    </row>
    <row r="10" spans="1:11" x14ac:dyDescent="0.35">
      <c r="A10" s="239" t="s">
        <v>194</v>
      </c>
      <c r="D10" s="242">
        <f>'Soft Costs'!D9</f>
        <v>7500</v>
      </c>
    </row>
    <row r="11" spans="1:11" ht="15.5" x14ac:dyDescent="0.35">
      <c r="A11" s="239" t="s">
        <v>195</v>
      </c>
      <c r="D11" s="242">
        <f>'Soft Costs'!D12</f>
        <v>15000</v>
      </c>
      <c r="J11" s="241"/>
    </row>
    <row r="12" spans="1:11" x14ac:dyDescent="0.35">
      <c r="A12" s="239" t="s">
        <v>166</v>
      </c>
      <c r="D12" s="242">
        <f>'Soft Costs'!D3</f>
        <v>6000</v>
      </c>
    </row>
    <row r="13" spans="1:11" x14ac:dyDescent="0.35">
      <c r="A13" s="239" t="s">
        <v>173</v>
      </c>
      <c r="D13" s="242">
        <f>'Soft Costs'!D15</f>
        <v>102000</v>
      </c>
    </row>
    <row r="14" spans="1:11" ht="15" thickBot="1" x14ac:dyDescent="0.4">
      <c r="A14" s="239" t="s">
        <v>174</v>
      </c>
      <c r="D14" s="242">
        <f>'Soft Costs'!D16</f>
        <v>15000</v>
      </c>
    </row>
    <row r="15" spans="1:11" x14ac:dyDescent="0.35">
      <c r="C15" s="240" t="s">
        <v>196</v>
      </c>
      <c r="D15" s="245">
        <f>SUM(D7:D14)</f>
        <v>726935</v>
      </c>
      <c r="E15" s="240" t="str">
        <f>A5</f>
        <v>Site Acquisition - Franklin Ave, Prospect Place and Park Place Addresses</v>
      </c>
      <c r="F15" s="240"/>
      <c r="G15" s="240"/>
    </row>
    <row r="16" spans="1:11" x14ac:dyDescent="0.35">
      <c r="C16" s="240"/>
      <c r="D16" s="246"/>
      <c r="E16" s="240"/>
      <c r="F16" s="240"/>
      <c r="G16" s="240"/>
    </row>
    <row r="17" spans="1:9" ht="15.5" x14ac:dyDescent="0.35">
      <c r="A17" s="241" t="s">
        <v>432</v>
      </c>
      <c r="B17" s="241"/>
      <c r="D17" s="242"/>
    </row>
    <row r="18" spans="1:9" x14ac:dyDescent="0.35">
      <c r="A18" s="239" t="s">
        <v>197</v>
      </c>
      <c r="D18" s="242">
        <v>9750000</v>
      </c>
    </row>
    <row r="19" spans="1:9" x14ac:dyDescent="0.35">
      <c r="A19" s="239" t="str">
        <f>'Soft Costs'!A22</f>
        <v>Property Closing Costs</v>
      </c>
      <c r="D19" s="425" t="s">
        <v>439</v>
      </c>
    </row>
    <row r="20" spans="1:9" x14ac:dyDescent="0.35">
      <c r="A20" s="239" t="s">
        <v>225</v>
      </c>
      <c r="D20" s="242">
        <f>SUM('Soft Costs'!D13)*0.25</f>
        <v>125000</v>
      </c>
      <c r="E20" s="242"/>
      <c r="F20" s="242"/>
      <c r="G20" s="242">
        <f>D20*4</f>
        <v>500000</v>
      </c>
      <c r="I20" s="415" t="s">
        <v>427</v>
      </c>
    </row>
    <row r="21" spans="1:9" x14ac:dyDescent="0.35">
      <c r="A21" s="239" t="s">
        <v>198</v>
      </c>
      <c r="D21" s="242">
        <f>SUM(0.02*'Construction Loan'!J23)</f>
        <v>40000</v>
      </c>
      <c r="E21" s="253" t="s">
        <v>270</v>
      </c>
    </row>
    <row r="22" spans="1:9" x14ac:dyDescent="0.35">
      <c r="A22" s="415" t="s">
        <v>307</v>
      </c>
      <c r="D22" s="242">
        <f>'Soft Costs'!D14</f>
        <v>821534</v>
      </c>
      <c r="E22" s="253"/>
    </row>
    <row r="23" spans="1:9" ht="20.65" customHeight="1" thickBot="1" x14ac:dyDescent="0.4">
      <c r="A23" s="415" t="e">
        <f>'Soft Costs'!#REF!</f>
        <v>#REF!</v>
      </c>
      <c r="D23" s="242" t="e">
        <f>'Soft Costs'!#REF!</f>
        <v>#REF!</v>
      </c>
      <c r="E23" s="253"/>
    </row>
    <row r="24" spans="1:9" ht="26.65" customHeight="1" thickBot="1" x14ac:dyDescent="0.4">
      <c r="C24" s="248" t="s">
        <v>196</v>
      </c>
      <c r="D24" s="245">
        <f>SUM(D18:D21)</f>
        <v>9915000</v>
      </c>
      <c r="E24" s="248" t="str">
        <f>A17</f>
        <v>Site Acquisition/Closings</v>
      </c>
      <c r="F24" s="248"/>
      <c r="G24" s="240"/>
    </row>
    <row r="25" spans="1:9" ht="17.5" thickBot="1" x14ac:dyDescent="0.45">
      <c r="B25" s="249" t="s">
        <v>199</v>
      </c>
      <c r="C25" s="250"/>
      <c r="D25" s="251"/>
      <c r="H25" s="252">
        <f>SUM(D24+D15)</f>
        <v>10641935</v>
      </c>
      <c r="I25" s="241" t="s">
        <v>200</v>
      </c>
    </row>
    <row r="26" spans="1:9" ht="17" x14ac:dyDescent="0.4">
      <c r="A26" s="249"/>
      <c r="B26" s="250"/>
      <c r="C26" s="250"/>
      <c r="D26" s="251"/>
      <c r="G26" s="251"/>
    </row>
    <row r="27" spans="1:9" x14ac:dyDescent="0.35">
      <c r="B27" s="253"/>
      <c r="D27" s="242"/>
    </row>
    <row r="28" spans="1:9" ht="18.5" x14ac:dyDescent="0.45">
      <c r="A28" s="238" t="s">
        <v>201</v>
      </c>
      <c r="D28" s="242"/>
      <c r="H28" s="238" t="s">
        <v>250</v>
      </c>
    </row>
    <row r="29" spans="1:9" x14ac:dyDescent="0.35">
      <c r="A29" s="240" t="s">
        <v>202</v>
      </c>
      <c r="D29" s="242"/>
      <c r="H29" s="239" t="s">
        <v>203</v>
      </c>
    </row>
    <row r="30" spans="1:9" x14ac:dyDescent="0.35">
      <c r="A30" s="279" t="s">
        <v>292</v>
      </c>
      <c r="D30" s="242">
        <f>SUM('Soft Costs'!D4)*0.15</f>
        <v>249750</v>
      </c>
      <c r="G30" s="242">
        <f>D30</f>
        <v>249750</v>
      </c>
    </row>
    <row r="31" spans="1:9" x14ac:dyDescent="0.35">
      <c r="A31" s="239" t="s">
        <v>204</v>
      </c>
      <c r="D31" s="242">
        <f>SUM('Soft Costs'!D6)*0.2</f>
        <v>0</v>
      </c>
      <c r="G31" s="242">
        <f>D31</f>
        <v>0</v>
      </c>
    </row>
    <row r="32" spans="1:9" x14ac:dyDescent="0.35">
      <c r="A32" s="239" t="s">
        <v>205</v>
      </c>
      <c r="D32" s="254" t="s">
        <v>178</v>
      </c>
      <c r="G32" s="254" t="s">
        <v>178</v>
      </c>
    </row>
    <row r="33" spans="1:9" x14ac:dyDescent="0.35">
      <c r="A33" s="239" t="s">
        <v>206</v>
      </c>
      <c r="D33" s="254">
        <f>SUM('Specialty Costs RES'!D5+'Specialty Costs RES'!D6+'Specialty Costs RES'!D8)*0.2</f>
        <v>125000</v>
      </c>
      <c r="G33" s="254">
        <f>D33</f>
        <v>125000</v>
      </c>
    </row>
    <row r="34" spans="1:9" s="240" customFormat="1" x14ac:dyDescent="0.35">
      <c r="A34" s="239" t="s">
        <v>207</v>
      </c>
      <c r="B34" s="239"/>
      <c r="C34" s="239"/>
      <c r="D34" s="254">
        <f>SUM(K7*0.1)</f>
        <v>228217.5</v>
      </c>
      <c r="E34" s="239"/>
      <c r="F34" s="239"/>
      <c r="G34" s="254">
        <f>D34</f>
        <v>228217.5</v>
      </c>
      <c r="H34" s="239"/>
      <c r="I34" s="239"/>
    </row>
    <row r="35" spans="1:9" x14ac:dyDescent="0.35">
      <c r="A35" s="240"/>
      <c r="B35" s="240"/>
      <c r="C35" s="240"/>
      <c r="D35" s="240"/>
      <c r="E35" s="240"/>
      <c r="F35" s="240"/>
      <c r="G35" s="240"/>
      <c r="H35" s="240"/>
      <c r="I35" s="240"/>
    </row>
    <row r="36" spans="1:9" ht="15.5" x14ac:dyDescent="0.35">
      <c r="A36" s="241" t="s">
        <v>208</v>
      </c>
      <c r="D36" s="242"/>
      <c r="H36" s="239" t="s">
        <v>251</v>
      </c>
    </row>
    <row r="37" spans="1:9" x14ac:dyDescent="0.35">
      <c r="A37" s="239" t="s">
        <v>210</v>
      </c>
      <c r="D37" s="242">
        <f>D30</f>
        <v>249750</v>
      </c>
      <c r="G37" s="242">
        <f>D37</f>
        <v>249750</v>
      </c>
    </row>
    <row r="38" spans="1:9" x14ac:dyDescent="0.35">
      <c r="A38" s="239" t="s">
        <v>168</v>
      </c>
      <c r="D38" s="289" t="s">
        <v>308</v>
      </c>
      <c r="E38" s="290"/>
      <c r="F38" s="290"/>
      <c r="G38" s="291" t="str">
        <f>D38</f>
        <v>Included</v>
      </c>
    </row>
    <row r="39" spans="1:9" x14ac:dyDescent="0.35">
      <c r="A39" s="239" t="s">
        <v>212</v>
      </c>
      <c r="C39" s="253"/>
      <c r="D39" s="239">
        <f>SUM('Specialty Costs RES'!D4)*0.33</f>
        <v>495000</v>
      </c>
      <c r="G39" s="255">
        <f>D39</f>
        <v>495000</v>
      </c>
    </row>
    <row r="40" spans="1:9" x14ac:dyDescent="0.35">
      <c r="D40" s="242"/>
    </row>
    <row r="41" spans="1:9" ht="15.5" x14ac:dyDescent="0.35">
      <c r="A41" s="241" t="s">
        <v>213</v>
      </c>
      <c r="H41" s="239" t="s">
        <v>251</v>
      </c>
    </row>
    <row r="42" spans="1:9" x14ac:dyDescent="0.35">
      <c r="A42" s="239" t="s">
        <v>210</v>
      </c>
      <c r="D42" s="242">
        <f>SUM('Soft Costs'!D4)*0.1</f>
        <v>166500</v>
      </c>
      <c r="G42" s="242">
        <f>D42</f>
        <v>166500</v>
      </c>
    </row>
    <row r="43" spans="1:9" x14ac:dyDescent="0.35">
      <c r="A43" s="239" t="s">
        <v>168</v>
      </c>
      <c r="D43" s="289" t="s">
        <v>308</v>
      </c>
      <c r="E43" s="290"/>
      <c r="F43" s="290"/>
      <c r="G43" s="291" t="str">
        <f>D43</f>
        <v>Included</v>
      </c>
    </row>
    <row r="44" spans="1:9" x14ac:dyDescent="0.35">
      <c r="A44" s="239" t="s">
        <v>206</v>
      </c>
      <c r="D44" s="254">
        <f>D33</f>
        <v>125000</v>
      </c>
      <c r="G44" s="242">
        <f>D44</f>
        <v>125000</v>
      </c>
    </row>
    <row r="46" spans="1:9" ht="15.5" x14ac:dyDescent="0.35">
      <c r="A46" s="241" t="s">
        <v>214</v>
      </c>
      <c r="D46" s="242"/>
      <c r="H46" s="239" t="s">
        <v>251</v>
      </c>
    </row>
    <row r="47" spans="1:9" x14ac:dyDescent="0.35">
      <c r="A47" s="239" t="s">
        <v>210</v>
      </c>
      <c r="D47" s="242">
        <f>SUM('Soft Costs'!D4)*0.2</f>
        <v>333000</v>
      </c>
      <c r="G47" s="242">
        <f>D47</f>
        <v>333000</v>
      </c>
    </row>
    <row r="48" spans="1:9" x14ac:dyDescent="0.35">
      <c r="A48" s="239" t="s">
        <v>168</v>
      </c>
      <c r="D48" s="289" t="s">
        <v>308</v>
      </c>
      <c r="E48" s="290"/>
      <c r="F48" s="290"/>
      <c r="G48" s="291" t="str">
        <f>D48</f>
        <v>Included</v>
      </c>
    </row>
    <row r="50" spans="1:12" ht="15.5" x14ac:dyDescent="0.35">
      <c r="A50" s="241" t="s">
        <v>215</v>
      </c>
      <c r="D50" s="242"/>
      <c r="H50" s="239" t="s">
        <v>216</v>
      </c>
      <c r="J50" s="255"/>
      <c r="L50" s="242"/>
    </row>
    <row r="51" spans="1:12" x14ac:dyDescent="0.35">
      <c r="A51" s="239" t="s">
        <v>217</v>
      </c>
      <c r="D51" s="242">
        <f>SUM('Soft Costs'!D4-G47-G42-G37-G30)*0.4/2</f>
        <v>133200</v>
      </c>
      <c r="E51" s="239" t="s">
        <v>211</v>
      </c>
      <c r="G51" s="242">
        <f>D51*2</f>
        <v>266400</v>
      </c>
      <c r="I51" s="242"/>
      <c r="J51" s="255"/>
    </row>
    <row r="52" spans="1:12" x14ac:dyDescent="0.35">
      <c r="A52" s="239" t="s">
        <v>168</v>
      </c>
      <c r="D52" s="289" t="s">
        <v>308</v>
      </c>
      <c r="E52" s="290"/>
      <c r="F52" s="290"/>
      <c r="G52" s="291" t="str">
        <f>D52</f>
        <v>Included</v>
      </c>
      <c r="I52" s="242"/>
    </row>
    <row r="53" spans="1:12" x14ac:dyDescent="0.35">
      <c r="A53" s="239" t="s">
        <v>206</v>
      </c>
      <c r="D53" s="242">
        <f>D44</f>
        <v>125000</v>
      </c>
      <c r="G53" s="242">
        <f>D53*2</f>
        <v>250000</v>
      </c>
    </row>
    <row r="54" spans="1:12" s="256" customFormat="1" ht="19" thickBot="1" x14ac:dyDescent="0.5">
      <c r="A54" s="239" t="s">
        <v>238</v>
      </c>
      <c r="B54" s="239"/>
      <c r="C54" s="239"/>
      <c r="D54" s="242">
        <f>G54/2</f>
        <v>187500</v>
      </c>
      <c r="E54" s="239"/>
      <c r="F54" s="239"/>
      <c r="G54" s="242">
        <f>SUM('Specialty Costs RES'!D4)*0.25</f>
        <v>375000</v>
      </c>
      <c r="H54" s="239"/>
      <c r="I54" s="239"/>
    </row>
    <row r="55" spans="1:12" ht="19" thickBot="1" x14ac:dyDescent="0.5">
      <c r="A55" s="256"/>
      <c r="B55" s="238" t="s">
        <v>219</v>
      </c>
      <c r="C55" s="256"/>
      <c r="D55" s="257"/>
      <c r="E55" s="256"/>
      <c r="F55" s="256"/>
      <c r="G55" s="252">
        <f>SUM(G30:G54)</f>
        <v>2863617.5</v>
      </c>
      <c r="H55" s="256"/>
      <c r="I55" s="256"/>
    </row>
    <row r="56" spans="1:12" s="238" customFormat="1" ht="18.5" x14ac:dyDescent="0.45">
      <c r="A56" s="239"/>
      <c r="B56" s="239"/>
      <c r="C56" s="239"/>
      <c r="D56" s="239"/>
      <c r="E56" s="239"/>
      <c r="F56" s="239"/>
      <c r="G56" s="239"/>
      <c r="H56" s="239"/>
      <c r="I56" s="239"/>
    </row>
    <row r="57" spans="1:12" ht="18.5" x14ac:dyDescent="0.45">
      <c r="A57" s="238" t="s">
        <v>220</v>
      </c>
      <c r="B57" s="238"/>
      <c r="C57" s="238"/>
      <c r="D57" s="238"/>
      <c r="E57" s="238"/>
      <c r="F57" s="238"/>
      <c r="G57" s="238"/>
      <c r="H57" s="238" t="s">
        <v>209</v>
      </c>
      <c r="I57" s="238" t="s">
        <v>266</v>
      </c>
    </row>
    <row r="58" spans="1:12" x14ac:dyDescent="0.35">
      <c r="A58" s="239" t="s">
        <v>221</v>
      </c>
      <c r="D58" s="242">
        <f>SUM('Soft Costs'!D10)*0.85</f>
        <v>0</v>
      </c>
      <c r="E58" s="242" t="s">
        <v>257</v>
      </c>
      <c r="F58" s="242"/>
      <c r="G58" s="242">
        <f>D58</f>
        <v>0</v>
      </c>
    </row>
    <row r="59" spans="1:12" x14ac:dyDescent="0.35">
      <c r="A59" s="239" t="s">
        <v>222</v>
      </c>
      <c r="D59" s="242">
        <f>SUM('Soft Costs'!D11)*0.5</f>
        <v>0</v>
      </c>
      <c r="E59" s="242"/>
      <c r="F59" s="242"/>
      <c r="G59" s="242">
        <f>D59*2</f>
        <v>0</v>
      </c>
      <c r="I59" s="239" t="s">
        <v>223</v>
      </c>
    </row>
    <row r="60" spans="1:12" x14ac:dyDescent="0.35">
      <c r="A60" s="240" t="s">
        <v>224</v>
      </c>
      <c r="D60" s="242">
        <f>SUM(25*150)</f>
        <v>3750</v>
      </c>
      <c r="E60" s="242"/>
      <c r="F60" s="242"/>
      <c r="G60" s="242">
        <f>D60</f>
        <v>3750</v>
      </c>
      <c r="I60" s="239" t="s">
        <v>259</v>
      </c>
    </row>
    <row r="61" spans="1:12" x14ac:dyDescent="0.35">
      <c r="A61" s="240" t="s">
        <v>260</v>
      </c>
      <c r="D61" s="242">
        <v>1500</v>
      </c>
      <c r="E61" s="242"/>
      <c r="F61" s="242"/>
      <c r="G61" s="242">
        <f>D61</f>
        <v>1500</v>
      </c>
      <c r="I61" s="239" t="s">
        <v>226</v>
      </c>
    </row>
    <row r="62" spans="1:12" x14ac:dyDescent="0.35">
      <c r="A62" s="239" t="s">
        <v>218</v>
      </c>
      <c r="D62" s="242">
        <f>SUM('Soft Costs'!D5)*0.2</f>
        <v>10000</v>
      </c>
      <c r="E62" s="242"/>
      <c r="F62" s="242"/>
      <c r="G62" s="242">
        <f>D62</f>
        <v>10000</v>
      </c>
      <c r="I62" s="239" t="s">
        <v>227</v>
      </c>
    </row>
    <row r="63" spans="1:12" x14ac:dyDescent="0.35">
      <c r="A63" s="240" t="s">
        <v>228</v>
      </c>
      <c r="D63" s="242">
        <f>SUM('Soft Costs'!D21*0.9)-G61-G60</f>
        <v>1500</v>
      </c>
      <c r="E63" s="242"/>
      <c r="F63" s="242"/>
      <c r="G63" s="242">
        <f>D63</f>
        <v>1500</v>
      </c>
      <c r="I63" s="239" t="s">
        <v>226</v>
      </c>
    </row>
    <row r="64" spans="1:12" ht="15" thickBot="1" x14ac:dyDescent="0.4">
      <c r="A64" s="239" t="s">
        <v>229</v>
      </c>
      <c r="D64" s="242">
        <f>SUM('Soft Costs'!D18*0.5)</f>
        <v>7500</v>
      </c>
      <c r="E64" s="242"/>
      <c r="F64" s="242"/>
      <c r="G64" s="242">
        <f>D64</f>
        <v>7500</v>
      </c>
    </row>
    <row r="65" spans="1:66" s="238" customFormat="1" ht="19" thickBot="1" x14ac:dyDescent="0.5">
      <c r="A65" s="238" t="s">
        <v>230</v>
      </c>
      <c r="D65" s="252">
        <f>SUM(D58:D64)</f>
        <v>24250</v>
      </c>
      <c r="E65" s="259"/>
      <c r="F65" s="259"/>
      <c r="G65" s="271">
        <f>SUM(G58:G64)</f>
        <v>24250</v>
      </c>
    </row>
    <row r="66" spans="1:66" s="238" customFormat="1" ht="19" thickBot="1" x14ac:dyDescent="0.5">
      <c r="D66" s="259"/>
      <c r="E66" s="259"/>
      <c r="F66" s="259"/>
      <c r="G66" s="251"/>
    </row>
    <row r="67" spans="1:66" s="256" customFormat="1" ht="19" thickBot="1" x14ac:dyDescent="0.5">
      <c r="E67" s="249" t="s">
        <v>231</v>
      </c>
      <c r="H67" s="252">
        <f>SUM(G65+G55+H25)</f>
        <v>13529802.5</v>
      </c>
      <c r="I67" s="238" t="s">
        <v>232</v>
      </c>
    </row>
    <row r="68" spans="1:66" s="256" customFormat="1" ht="19" thickBot="1" x14ac:dyDescent="0.5">
      <c r="D68" s="249"/>
      <c r="H68" s="259"/>
      <c r="I68" s="238"/>
    </row>
    <row r="69" spans="1:66" s="240" customFormat="1" ht="18" customHeight="1" thickBot="1" x14ac:dyDescent="0.5">
      <c r="A69" s="266" t="s">
        <v>261</v>
      </c>
      <c r="B69" s="267"/>
      <c r="C69" s="267"/>
      <c r="D69" s="267"/>
      <c r="E69" s="267"/>
      <c r="F69" s="267"/>
      <c r="G69" s="267"/>
      <c r="H69" s="267"/>
      <c r="I69" s="267"/>
      <c r="J69" s="267"/>
      <c r="K69" s="267"/>
      <c r="L69" s="267"/>
      <c r="M69" s="267"/>
      <c r="N69" s="267"/>
      <c r="O69" s="268"/>
      <c r="P69" s="260"/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  <c r="AC69" s="260"/>
      <c r="AD69" s="260"/>
      <c r="AE69" s="260"/>
      <c r="AF69" s="260"/>
      <c r="AG69" s="260"/>
      <c r="AH69" s="260"/>
      <c r="AI69" s="260"/>
      <c r="AJ69" s="260"/>
      <c r="AK69" s="260"/>
      <c r="AL69" s="260"/>
      <c r="AM69" s="260"/>
      <c r="AN69" s="260"/>
      <c r="AO69" s="260"/>
      <c r="AP69" s="260"/>
      <c r="AQ69" s="260"/>
      <c r="AR69" s="260"/>
      <c r="AS69" s="260"/>
      <c r="AT69" s="260"/>
      <c r="AU69" s="260"/>
      <c r="AV69" s="260"/>
      <c r="AW69" s="260"/>
      <c r="AX69" s="260"/>
      <c r="AY69" s="260"/>
      <c r="AZ69" s="260"/>
      <c r="BA69" s="260"/>
      <c r="BB69" s="260"/>
      <c r="BC69" s="260"/>
      <c r="BD69" s="260"/>
      <c r="BE69" s="260"/>
      <c r="BF69" s="260"/>
      <c r="BG69" s="260"/>
      <c r="BH69" s="260"/>
      <c r="BI69" s="260"/>
      <c r="BJ69" s="260"/>
      <c r="BK69" s="260"/>
      <c r="BL69" s="260"/>
      <c r="BM69" s="260"/>
      <c r="BN69" s="260"/>
    </row>
    <row r="70" spans="1:66" s="240" customFormat="1" ht="18.5" x14ac:dyDescent="0.45">
      <c r="A70" s="238"/>
      <c r="H70" s="238"/>
    </row>
    <row r="71" spans="1:66" s="240" customFormat="1" ht="18.5" x14ac:dyDescent="0.45">
      <c r="A71" s="238" t="s">
        <v>277</v>
      </c>
      <c r="H71" s="238" t="s">
        <v>267</v>
      </c>
    </row>
    <row r="72" spans="1:66" s="240" customFormat="1" ht="18.5" x14ac:dyDescent="0.45">
      <c r="A72" s="241" t="s">
        <v>264</v>
      </c>
      <c r="D72" s="261">
        <f>G72/13</f>
        <v>105331.15384615384</v>
      </c>
      <c r="E72" s="240" t="s">
        <v>211</v>
      </c>
      <c r="G72" s="261">
        <f>SUM(K7*0.9)-D7-G34</f>
        <v>1369305</v>
      </c>
      <c r="H72" s="238"/>
      <c r="I72" s="240" t="s">
        <v>262</v>
      </c>
      <c r="M72" s="261"/>
    </row>
    <row r="73" spans="1:66" s="240" customFormat="1" ht="18.5" x14ac:dyDescent="0.45">
      <c r="A73" s="241"/>
      <c r="H73" s="238"/>
      <c r="M73" s="269"/>
    </row>
    <row r="74" spans="1:66" s="240" customFormat="1" ht="15.5" x14ac:dyDescent="0.35">
      <c r="A74" s="241" t="s">
        <v>269</v>
      </c>
      <c r="H74" s="240" t="s">
        <v>275</v>
      </c>
      <c r="I74" s="239" t="s">
        <v>265</v>
      </c>
    </row>
    <row r="75" spans="1:66" x14ac:dyDescent="0.35">
      <c r="A75" s="239" t="s">
        <v>233</v>
      </c>
      <c r="D75" s="242">
        <f>G75/6</f>
        <v>163166.66666666666</v>
      </c>
      <c r="E75" s="242"/>
      <c r="F75" s="242"/>
      <c r="G75" s="242">
        <v>979000</v>
      </c>
    </row>
    <row r="76" spans="1:66" x14ac:dyDescent="0.35">
      <c r="A76" s="342" t="s">
        <v>403</v>
      </c>
      <c r="D76" s="242">
        <f>G76/6</f>
        <v>416666.66666666669</v>
      </c>
      <c r="E76" s="242"/>
      <c r="F76" s="242"/>
      <c r="G76" s="242">
        <v>2500000</v>
      </c>
    </row>
    <row r="77" spans="1:66" x14ac:dyDescent="0.35">
      <c r="A77" s="239" t="s">
        <v>234</v>
      </c>
      <c r="D77" s="242">
        <f>G77/6</f>
        <v>733425.16666666663</v>
      </c>
      <c r="E77" s="242"/>
      <c r="F77" s="242"/>
      <c r="G77" s="242">
        <v>4400551</v>
      </c>
    </row>
    <row r="78" spans="1:66" ht="15" thickBot="1" x14ac:dyDescent="0.4">
      <c r="A78" s="342" t="s">
        <v>404</v>
      </c>
      <c r="D78" s="242">
        <f>G78/6</f>
        <v>910267</v>
      </c>
      <c r="E78" s="242"/>
      <c r="F78" s="242"/>
      <c r="G78" s="242">
        <v>5461602</v>
      </c>
    </row>
    <row r="79" spans="1:66" ht="19" thickTop="1" x14ac:dyDescent="0.45">
      <c r="A79" s="238" t="s">
        <v>272</v>
      </c>
      <c r="D79" s="258">
        <f>SUM(D75:D78)</f>
        <v>2223525.5</v>
      </c>
      <c r="E79" s="242"/>
      <c r="F79" s="242"/>
      <c r="G79" s="258">
        <f>SUM(G75:G78)</f>
        <v>13341153</v>
      </c>
    </row>
    <row r="80" spans="1:66" s="256" customFormat="1" ht="18.5" x14ac:dyDescent="0.45">
      <c r="E80" s="257"/>
      <c r="F80" s="257"/>
      <c r="G80" s="257"/>
    </row>
    <row r="81" spans="1:14" s="240" customFormat="1" ht="15.5" x14ac:dyDescent="0.35">
      <c r="A81" s="241" t="s">
        <v>271</v>
      </c>
      <c r="H81" s="240" t="s">
        <v>267</v>
      </c>
      <c r="I81" s="239" t="s">
        <v>274</v>
      </c>
    </row>
    <row r="82" spans="1:14" x14ac:dyDescent="0.35">
      <c r="A82" s="239" t="s">
        <v>235</v>
      </c>
      <c r="D82" s="242">
        <f>SUM(G82/13)</f>
        <v>2727123.8884615386</v>
      </c>
      <c r="E82" s="242"/>
      <c r="F82" s="242"/>
      <c r="G82" s="242">
        <f>SUM('Construction Loan'!H21)*'Construction Loan'!J21*0.54371</f>
        <v>35452610.550000004</v>
      </c>
    </row>
    <row r="83" spans="1:14" x14ac:dyDescent="0.35">
      <c r="A83" s="239" t="s">
        <v>206</v>
      </c>
      <c r="D83" s="242">
        <f>G83/14</f>
        <v>41071.428571428572</v>
      </c>
      <c r="E83" s="242"/>
      <c r="F83" s="242"/>
      <c r="G83" s="242">
        <f>SUM(L106-G53-G44-G33)</f>
        <v>575000</v>
      </c>
    </row>
    <row r="84" spans="1:14" x14ac:dyDescent="0.35">
      <c r="A84" s="239" t="s">
        <v>236</v>
      </c>
      <c r="D84" s="286">
        <f>G84</f>
        <v>487649</v>
      </c>
      <c r="F84" s="242"/>
      <c r="G84" s="242">
        <v>487649</v>
      </c>
      <c r="H84" s="242" t="s">
        <v>257</v>
      </c>
    </row>
    <row r="85" spans="1:14" x14ac:dyDescent="0.35">
      <c r="A85" s="239" t="s">
        <v>237</v>
      </c>
      <c r="D85" s="242">
        <v>200000</v>
      </c>
      <c r="F85" s="242"/>
      <c r="G85" s="242">
        <f>D85*3</f>
        <v>600000</v>
      </c>
      <c r="H85" s="242" t="s">
        <v>268</v>
      </c>
      <c r="M85" s="242"/>
      <c r="N85" s="242"/>
    </row>
    <row r="86" spans="1:14" x14ac:dyDescent="0.35">
      <c r="A86" s="239" t="s">
        <v>238</v>
      </c>
      <c r="D86" s="242">
        <f>G86/13</f>
        <v>48461.538461538461</v>
      </c>
      <c r="E86" s="242"/>
      <c r="F86" s="242"/>
      <c r="G86" s="242">
        <f>SUM('Specialty Costs RES'!D4)-G39-G54</f>
        <v>630000</v>
      </c>
      <c r="M86" s="242"/>
    </row>
    <row r="87" spans="1:14" ht="15" thickBot="1" x14ac:dyDescent="0.4">
      <c r="A87" s="239" t="s">
        <v>239</v>
      </c>
      <c r="D87" s="242">
        <f>G87/13</f>
        <v>1153.8461538461538</v>
      </c>
      <c r="E87" s="242"/>
      <c r="F87" s="242"/>
      <c r="G87" s="242">
        <f>SUM('Soft Costs'!D17)</f>
        <v>15000</v>
      </c>
    </row>
    <row r="88" spans="1:14" ht="19" thickTop="1" x14ac:dyDescent="0.45">
      <c r="A88" s="238" t="s">
        <v>273</v>
      </c>
      <c r="D88" s="258">
        <f>SUM(D82:D87)</f>
        <v>3505459.7016483517</v>
      </c>
      <c r="E88" s="242"/>
      <c r="F88" s="242"/>
      <c r="G88" s="258">
        <f>SUM(G82:G87)</f>
        <v>37760259.550000004</v>
      </c>
    </row>
    <row r="89" spans="1:14" ht="18.5" x14ac:dyDescent="0.45">
      <c r="A89" s="238"/>
      <c r="D89" s="259"/>
      <c r="E89" s="242"/>
      <c r="F89" s="242"/>
      <c r="G89" s="259"/>
    </row>
    <row r="90" spans="1:14" ht="18.5" x14ac:dyDescent="0.45">
      <c r="A90" s="238" t="s">
        <v>253</v>
      </c>
    </row>
    <row r="91" spans="1:14" x14ac:dyDescent="0.35">
      <c r="A91" s="239" t="s">
        <v>176</v>
      </c>
      <c r="G91" s="255">
        <f>SUM('Soft Costs'!D18-G64)</f>
        <v>7500</v>
      </c>
      <c r="H91" s="415" t="s">
        <v>433</v>
      </c>
    </row>
    <row r="92" spans="1:14" x14ac:dyDescent="0.35">
      <c r="A92" s="239" t="s">
        <v>217</v>
      </c>
      <c r="G92" s="242">
        <f>SUM(E106-G51-G47-G42-G37-G30)</f>
        <v>399600</v>
      </c>
      <c r="H92" s="279" t="s">
        <v>294</v>
      </c>
      <c r="I92" s="280"/>
    </row>
    <row r="93" spans="1:14" x14ac:dyDescent="0.35">
      <c r="A93" s="239" t="s">
        <v>218</v>
      </c>
      <c r="G93" s="242">
        <f>SUM('Soft Costs'!D5)-D62-D9</f>
        <v>15000</v>
      </c>
      <c r="H93" s="239" t="s">
        <v>256</v>
      </c>
    </row>
    <row r="94" spans="1:14" x14ac:dyDescent="0.35">
      <c r="A94" s="239" t="s">
        <v>221</v>
      </c>
      <c r="G94" s="242">
        <f>('Soft Costs'!D10)*0.15</f>
        <v>0</v>
      </c>
      <c r="H94" s="239" t="s">
        <v>258</v>
      </c>
      <c r="J94" s="265"/>
    </row>
    <row r="95" spans="1:14" x14ac:dyDescent="0.35">
      <c r="A95" s="239" t="s">
        <v>263</v>
      </c>
      <c r="G95" s="242">
        <f>SUM('Soft Costs'!D8*0.1)</f>
        <v>228217.5</v>
      </c>
      <c r="H95" s="239" t="s">
        <v>255</v>
      </c>
    </row>
    <row r="96" spans="1:14" ht="15" thickBot="1" x14ac:dyDescent="0.4">
      <c r="A96" s="270" t="s">
        <v>180</v>
      </c>
      <c r="G96" s="242">
        <f>SUM('Soft Costs'!D21)-G63-G61-G60</f>
        <v>750</v>
      </c>
      <c r="H96" s="239" t="s">
        <v>255</v>
      </c>
      <c r="I96" s="255"/>
      <c r="J96" s="255"/>
    </row>
    <row r="97" spans="1:15" ht="19" thickTop="1" x14ac:dyDescent="0.45">
      <c r="E97" s="238" t="s">
        <v>276</v>
      </c>
      <c r="G97" s="258">
        <f>SUM(G91:G96)</f>
        <v>651067.5</v>
      </c>
      <c r="K97" s="242"/>
    </row>
    <row r="98" spans="1:15" ht="18.5" x14ac:dyDescent="0.45">
      <c r="E98" s="238"/>
      <c r="G98" s="259"/>
      <c r="K98" s="242"/>
    </row>
    <row r="99" spans="1:15" ht="19" thickBot="1" x14ac:dyDescent="0.5">
      <c r="A99" s="238"/>
      <c r="D99" s="259"/>
      <c r="E99" s="238" t="s">
        <v>435</v>
      </c>
      <c r="H99" s="259">
        <f>SUM(G97+G88+G79+G72)</f>
        <v>53121785.050000004</v>
      </c>
      <c r="K99" s="282"/>
    </row>
    <row r="100" spans="1:15" ht="19" thickBot="1" x14ac:dyDescent="0.5">
      <c r="G100" s="238" t="s">
        <v>240</v>
      </c>
      <c r="I100" s="272">
        <f>SUM(H99+H67)</f>
        <v>66651587.550000004</v>
      </c>
      <c r="K100" s="286"/>
      <c r="L100" s="284"/>
    </row>
    <row r="101" spans="1:15" x14ac:dyDescent="0.35">
      <c r="G101" s="415" t="s">
        <v>434</v>
      </c>
      <c r="K101" s="242"/>
      <c r="L101" s="242"/>
      <c r="M101" s="242"/>
    </row>
    <row r="102" spans="1:15" x14ac:dyDescent="0.35">
      <c r="K102" s="273"/>
      <c r="L102" s="273"/>
    </row>
    <row r="103" spans="1:15" x14ac:dyDescent="0.35">
      <c r="K103" s="242"/>
    </row>
    <row r="104" spans="1:15" ht="15.5" x14ac:dyDescent="0.35">
      <c r="A104" s="241" t="s">
        <v>295</v>
      </c>
      <c r="B104" s="241"/>
      <c r="C104" s="241"/>
      <c r="D104" s="241"/>
      <c r="E104" s="281" t="s">
        <v>402</v>
      </c>
      <c r="F104" s="281" t="s">
        <v>291</v>
      </c>
      <c r="G104" s="282" t="s">
        <v>293</v>
      </c>
      <c r="I104" s="240" t="s">
        <v>296</v>
      </c>
      <c r="K104" s="273"/>
      <c r="L104" s="281" t="s">
        <v>402</v>
      </c>
      <c r="M104" s="281" t="s">
        <v>291</v>
      </c>
      <c r="N104" s="282" t="s">
        <v>293</v>
      </c>
    </row>
    <row r="105" spans="1:15" ht="15.5" x14ac:dyDescent="0.35">
      <c r="A105" s="1" t="s">
        <v>166</v>
      </c>
      <c r="B105" s="1"/>
      <c r="C105" s="1"/>
      <c r="D105" s="241"/>
      <c r="E105" s="400">
        <f>'Soft Costs'!D3</f>
        <v>6000</v>
      </c>
      <c r="F105" s="292">
        <f>D12</f>
        <v>6000</v>
      </c>
      <c r="G105" s="255">
        <f>SUM(E105-F105)</f>
        <v>0</v>
      </c>
      <c r="I105" t="s">
        <v>287</v>
      </c>
      <c r="J105"/>
      <c r="K105"/>
      <c r="L105" s="278">
        <v>1500000</v>
      </c>
      <c r="M105" s="255">
        <f>SUM(G39+G54+G86)</f>
        <v>1500000</v>
      </c>
      <c r="N105" s="255">
        <f t="shared" ref="N105:N106" si="0">SUM(L105-M105)</f>
        <v>0</v>
      </c>
    </row>
    <row r="106" spans="1:15" ht="15.5" x14ac:dyDescent="0.35">
      <c r="A106" s="417" t="s">
        <v>429</v>
      </c>
      <c r="B106" s="1"/>
      <c r="C106" s="1"/>
      <c r="D106" s="241"/>
      <c r="E106" s="398">
        <f>'Soft Costs'!D4</f>
        <v>1665000</v>
      </c>
      <c r="F106" s="293">
        <f>SUM(G30+G37+G51+G42+G47+G92)</f>
        <v>1665000</v>
      </c>
      <c r="G106" s="255">
        <f t="shared" ref="G106:G126" si="1">SUM(E106-F106)</f>
        <v>0</v>
      </c>
      <c r="I106" s="240" t="s">
        <v>297</v>
      </c>
      <c r="J106"/>
      <c r="K106"/>
      <c r="L106" s="242">
        <f>SUM(L107:L110)</f>
        <v>1075000</v>
      </c>
      <c r="M106" s="242">
        <f>SUM(G83+G53+G44+G33)</f>
        <v>1075000</v>
      </c>
      <c r="N106" s="255">
        <f t="shared" si="0"/>
        <v>0</v>
      </c>
    </row>
    <row r="107" spans="1:15" ht="15.5" x14ac:dyDescent="0.35">
      <c r="A107" s="1" t="s">
        <v>167</v>
      </c>
      <c r="B107" s="1"/>
      <c r="C107" s="1"/>
      <c r="D107" s="241"/>
      <c r="E107" s="400">
        <f>'Soft Costs'!D5</f>
        <v>50000</v>
      </c>
      <c r="F107" s="292">
        <f>SUM(D9+G62+G93)</f>
        <v>50000</v>
      </c>
      <c r="G107" s="255">
        <f t="shared" si="1"/>
        <v>0</v>
      </c>
      <c r="I107" t="s">
        <v>244</v>
      </c>
      <c r="J107"/>
      <c r="K107"/>
      <c r="L107" s="278">
        <v>350000</v>
      </c>
      <c r="N107" s="255"/>
    </row>
    <row r="108" spans="1:15" ht="15.5" x14ac:dyDescent="0.35">
      <c r="A108" s="1" t="s">
        <v>168</v>
      </c>
      <c r="B108" s="1"/>
      <c r="C108" s="1"/>
      <c r="D108" s="241"/>
      <c r="E108" s="402" t="str">
        <f>'Soft Costs'!D6</f>
        <v>Included in D4</v>
      </c>
      <c r="F108" s="247">
        <v>0</v>
      </c>
      <c r="G108" s="255">
        <f>F108</f>
        <v>0</v>
      </c>
      <c r="I108" t="s">
        <v>245</v>
      </c>
      <c r="J108"/>
      <c r="K108"/>
      <c r="L108" s="278">
        <v>75000</v>
      </c>
      <c r="N108" s="255"/>
    </row>
    <row r="109" spans="1:15" ht="15.5" x14ac:dyDescent="0.35">
      <c r="A109" s="1" t="s">
        <v>290</v>
      </c>
      <c r="B109" s="1"/>
      <c r="C109" s="1"/>
      <c r="D109" s="241"/>
      <c r="E109" s="402" t="str">
        <f>'Soft Costs'!D7</f>
        <v>Included in D4</v>
      </c>
      <c r="F109" s="247">
        <v>0</v>
      </c>
      <c r="G109" s="255">
        <f>F109</f>
        <v>0</v>
      </c>
      <c r="I109" t="s">
        <v>247</v>
      </c>
      <c r="J109"/>
      <c r="K109"/>
      <c r="L109" s="278">
        <v>450000</v>
      </c>
      <c r="N109" s="255"/>
    </row>
    <row r="110" spans="1:15" ht="16" thickBot="1" x14ac:dyDescent="0.4">
      <c r="A110" s="1" t="s">
        <v>169</v>
      </c>
      <c r="B110" s="230"/>
      <c r="C110" s="1"/>
      <c r="D110" s="241"/>
      <c r="E110" s="399">
        <f>'Soft Costs'!D8</f>
        <v>2282175</v>
      </c>
      <c r="F110" s="292">
        <f>SUM(G95++G34+D7+G72)</f>
        <v>2282175</v>
      </c>
      <c r="G110" s="273">
        <f t="shared" si="1"/>
        <v>0</v>
      </c>
      <c r="I110" t="s">
        <v>288</v>
      </c>
      <c r="J110"/>
      <c r="K110" s="263" t="s">
        <v>249</v>
      </c>
      <c r="L110" s="278">
        <v>200000</v>
      </c>
      <c r="N110" s="255"/>
    </row>
    <row r="111" spans="1:15" ht="15.5" x14ac:dyDescent="0.35">
      <c r="A111" s="1" t="s">
        <v>184</v>
      </c>
      <c r="B111" s="230"/>
      <c r="C111" s="1"/>
      <c r="D111" s="241"/>
      <c r="E111" s="400">
        <f>'Soft Costs'!D9</f>
        <v>7500</v>
      </c>
      <c r="F111" s="292">
        <f>SUM(D10)</f>
        <v>7500</v>
      </c>
      <c r="G111" s="255">
        <f t="shared" si="1"/>
        <v>0</v>
      </c>
      <c r="L111" s="264">
        <f>SUM(L105+L106)</f>
        <v>2575000</v>
      </c>
      <c r="M111" s="283">
        <f>SUM(M105:M110)</f>
        <v>2575000</v>
      </c>
      <c r="N111" s="283">
        <f>SUM(L111-M111)</f>
        <v>0</v>
      </c>
      <c r="O111" s="284" t="s">
        <v>298</v>
      </c>
    </row>
    <row r="112" spans="1:15" ht="15.5" x14ac:dyDescent="0.35">
      <c r="A112" s="1" t="s">
        <v>170</v>
      </c>
      <c r="B112" s="230"/>
      <c r="C112" s="1"/>
      <c r="D112" s="241"/>
      <c r="E112" s="400">
        <f>'Soft Costs'!D10</f>
        <v>0</v>
      </c>
      <c r="F112" s="292">
        <f>SUM(G58+G94)</f>
        <v>0</v>
      </c>
      <c r="G112" s="255">
        <f t="shared" si="1"/>
        <v>0</v>
      </c>
    </row>
    <row r="113" spans="1:15" ht="16" thickBot="1" x14ac:dyDescent="0.4">
      <c r="A113" s="1" t="s">
        <v>185</v>
      </c>
      <c r="B113" s="230"/>
      <c r="C113" s="1"/>
      <c r="D113" s="241"/>
      <c r="E113" s="400">
        <f>'Soft Costs'!D11</f>
        <v>0</v>
      </c>
      <c r="F113" s="247">
        <f>SUM(G59)</f>
        <v>0</v>
      </c>
      <c r="G113" s="255">
        <f t="shared" si="1"/>
        <v>0</v>
      </c>
      <c r="I113" s="240"/>
    </row>
    <row r="114" spans="1:15" ht="15.5" x14ac:dyDescent="0.35">
      <c r="A114" s="1" t="s">
        <v>171</v>
      </c>
      <c r="B114" s="230"/>
      <c r="C114" s="1"/>
      <c r="D114" s="241"/>
      <c r="E114" s="400">
        <f>'Soft Costs'!D12</f>
        <v>15000</v>
      </c>
      <c r="F114" s="292">
        <f>SUM(D11)</f>
        <v>15000</v>
      </c>
      <c r="G114" s="255">
        <f t="shared" si="1"/>
        <v>0</v>
      </c>
      <c r="I114" s="279"/>
      <c r="L114" s="242"/>
      <c r="M114" s="242"/>
      <c r="N114" s="285"/>
      <c r="O114" s="284"/>
    </row>
    <row r="115" spans="1:15" ht="15.5" x14ac:dyDescent="0.35">
      <c r="A115" s="1" t="s">
        <v>172</v>
      </c>
      <c r="B115" s="230"/>
      <c r="C115" s="1"/>
      <c r="D115" s="241"/>
      <c r="E115" s="400">
        <f>'Soft Costs'!D13</f>
        <v>500000</v>
      </c>
      <c r="F115" s="292">
        <f>SUM(G20)</f>
        <v>500000</v>
      </c>
      <c r="G115" s="255">
        <f t="shared" si="1"/>
        <v>0</v>
      </c>
      <c r="I115" s="342"/>
    </row>
    <row r="116" spans="1:15" ht="15.5" x14ac:dyDescent="0.35">
      <c r="A116" s="1" t="s">
        <v>307</v>
      </c>
      <c r="B116" s="230"/>
      <c r="C116" s="1"/>
      <c r="D116" s="241"/>
      <c r="E116" s="400">
        <f>'Soft Costs'!D14</f>
        <v>821534</v>
      </c>
      <c r="F116" s="292">
        <f>D22</f>
        <v>821534</v>
      </c>
      <c r="G116" s="255">
        <f t="shared" si="1"/>
        <v>0</v>
      </c>
      <c r="I116" s="342"/>
    </row>
    <row r="117" spans="1:15" ht="15.5" x14ac:dyDescent="0.35">
      <c r="A117" s="1" t="s">
        <v>173</v>
      </c>
      <c r="B117" s="45"/>
      <c r="C117" s="1"/>
      <c r="D117" s="241"/>
      <c r="E117" s="400">
        <f>'Soft Costs'!D15</f>
        <v>102000</v>
      </c>
      <c r="F117" s="292">
        <f>SUM(D13)</f>
        <v>102000</v>
      </c>
      <c r="G117" s="255">
        <f t="shared" si="1"/>
        <v>0</v>
      </c>
    </row>
    <row r="118" spans="1:15" ht="15.5" x14ac:dyDescent="0.35">
      <c r="A118" s="1" t="s">
        <v>174</v>
      </c>
      <c r="B118" s="1"/>
      <c r="C118" s="1"/>
      <c r="D118" s="241"/>
      <c r="E118" s="400">
        <f>'Soft Costs'!D16</f>
        <v>15000</v>
      </c>
      <c r="F118" s="292">
        <f>SUM(D14)</f>
        <v>15000</v>
      </c>
      <c r="G118" s="255">
        <f t="shared" si="1"/>
        <v>0</v>
      </c>
      <c r="I118" s="1"/>
      <c r="J118" s="1"/>
      <c r="K118" s="1"/>
    </row>
    <row r="119" spans="1:15" ht="15.5" x14ac:dyDescent="0.35">
      <c r="A119" s="1" t="s">
        <v>175</v>
      </c>
      <c r="B119" s="1"/>
      <c r="C119" s="1"/>
      <c r="D119" s="241"/>
      <c r="E119" s="400">
        <f>'Soft Costs'!D17</f>
        <v>15000</v>
      </c>
      <c r="F119" s="292">
        <f>G87</f>
        <v>15000</v>
      </c>
      <c r="G119" s="255">
        <f t="shared" si="1"/>
        <v>0</v>
      </c>
      <c r="I119" s="397"/>
      <c r="J119" s="1"/>
      <c r="K119" s="1"/>
    </row>
    <row r="120" spans="1:15" ht="15.5" x14ac:dyDescent="0.35">
      <c r="A120" s="1" t="s">
        <v>176</v>
      </c>
      <c r="B120" s="1"/>
      <c r="C120" s="1"/>
      <c r="D120" s="241"/>
      <c r="E120" s="400">
        <f>'Soft Costs'!D18</f>
        <v>15000</v>
      </c>
      <c r="F120" s="292">
        <f>SUM(G91+G64)</f>
        <v>15000</v>
      </c>
      <c r="G120" s="255">
        <f t="shared" si="1"/>
        <v>0</v>
      </c>
      <c r="I120" s="1"/>
      <c r="J120" s="1"/>
      <c r="K120" s="1"/>
    </row>
    <row r="121" spans="1:15" ht="15.5" x14ac:dyDescent="0.35">
      <c r="A121" s="1" t="s">
        <v>177</v>
      </c>
      <c r="B121" s="1"/>
      <c r="C121" s="1"/>
      <c r="D121" s="241"/>
      <c r="E121" s="401" t="str">
        <f>'Soft Costs'!D19</f>
        <v>NYSERDA</v>
      </c>
      <c r="F121" s="419" t="str">
        <f>E121</f>
        <v>NYSERDA</v>
      </c>
      <c r="G121" s="420" t="str">
        <f>F121</f>
        <v>NYSERDA</v>
      </c>
      <c r="I121" s="1"/>
      <c r="J121" s="1"/>
      <c r="K121" s="1"/>
    </row>
    <row r="122" spans="1:15" ht="15.5" x14ac:dyDescent="0.35">
      <c r="A122" s="1" t="s">
        <v>179</v>
      </c>
      <c r="B122" s="1"/>
      <c r="C122" s="1"/>
      <c r="D122" s="241"/>
      <c r="E122" s="398">
        <f>'Soft Costs'!D20</f>
        <v>40000</v>
      </c>
      <c r="F122" s="418">
        <f>D21</f>
        <v>40000</v>
      </c>
      <c r="G122" s="255">
        <f t="shared" si="1"/>
        <v>0</v>
      </c>
      <c r="I122" s="1"/>
      <c r="J122" s="1"/>
      <c r="K122" s="1"/>
    </row>
    <row r="123" spans="1:15" ht="15.5" x14ac:dyDescent="0.35">
      <c r="A123" s="1" t="s">
        <v>180</v>
      </c>
      <c r="B123" s="1"/>
      <c r="C123" s="1"/>
      <c r="D123" s="241"/>
      <c r="E123" s="400">
        <f>'Soft Costs'!D21</f>
        <v>7500</v>
      </c>
      <c r="F123" s="292">
        <f>SUM(G60+G61+G63+G96)</f>
        <v>7500</v>
      </c>
      <c r="G123" s="255">
        <f t="shared" si="1"/>
        <v>0</v>
      </c>
      <c r="I123" s="1"/>
      <c r="J123" s="230"/>
      <c r="K123" s="1"/>
    </row>
    <row r="124" spans="1:15" ht="15.5" x14ac:dyDescent="0.35">
      <c r="A124" s="190" t="str">
        <f>'Soft Costs'!A22</f>
        <v>Property Closing Costs</v>
      </c>
      <c r="B124" s="1"/>
      <c r="C124" s="1"/>
      <c r="D124" s="241"/>
      <c r="E124" s="400">
        <f>'Soft Costs'!D22</f>
        <v>75000</v>
      </c>
      <c r="F124" s="292" t="str">
        <f>D19</f>
        <v xml:space="preserve"> </v>
      </c>
      <c r="G124" s="255" t="e">
        <f t="shared" si="1"/>
        <v>#VALUE!</v>
      </c>
      <c r="I124" s="1"/>
      <c r="J124" s="230"/>
      <c r="K124" s="1"/>
    </row>
    <row r="125" spans="1:15" ht="16" thickBot="1" x14ac:dyDescent="0.4">
      <c r="A125" s="1" t="s">
        <v>430</v>
      </c>
      <c r="B125" s="1"/>
      <c r="C125" s="1"/>
      <c r="D125" s="241"/>
      <c r="E125" s="400" t="e">
        <f>'Soft Costs'!#REF!</f>
        <v>#REF!</v>
      </c>
      <c r="F125" s="242" t="e">
        <f>D23</f>
        <v>#REF!</v>
      </c>
      <c r="G125" s="255" t="e">
        <f t="shared" si="1"/>
        <v>#REF!</v>
      </c>
      <c r="I125" s="1"/>
      <c r="J125" s="230"/>
      <c r="K125" s="1"/>
    </row>
    <row r="126" spans="1:15" ht="15.5" x14ac:dyDescent="0.35">
      <c r="A126" s="231" t="s">
        <v>181</v>
      </c>
      <c r="B126" s="1"/>
      <c r="C126" s="1"/>
      <c r="D126" s="241"/>
      <c r="E126" s="233" t="e">
        <f>SUM(E105:E125)</f>
        <v>#REF!</v>
      </c>
      <c r="F126" s="294" t="e">
        <f>SUM(F105:F125)</f>
        <v>#REF!</v>
      </c>
      <c r="G126" s="283" t="e">
        <f t="shared" si="1"/>
        <v>#REF!</v>
      </c>
      <c r="H126" s="284" t="s">
        <v>298</v>
      </c>
      <c r="I126" s="1"/>
      <c r="J126" s="230"/>
      <c r="K126" s="1"/>
    </row>
    <row r="127" spans="1:15" ht="15.5" x14ac:dyDescent="0.35">
      <c r="I127" s="1"/>
      <c r="J127" s="230"/>
      <c r="K127" s="1"/>
    </row>
    <row r="128" spans="1:15" ht="15.5" x14ac:dyDescent="0.35">
      <c r="I128" s="1"/>
      <c r="J128" s="230"/>
      <c r="K128" s="1"/>
    </row>
    <row r="129" spans="9:11" ht="15.5" x14ac:dyDescent="0.35">
      <c r="I129" s="1"/>
      <c r="J129" s="230"/>
      <c r="K129" s="1"/>
    </row>
    <row r="130" spans="9:11" ht="15.5" x14ac:dyDescent="0.35">
      <c r="I130" s="1"/>
      <c r="J130" s="230"/>
      <c r="K130" s="1"/>
    </row>
    <row r="131" spans="9:11" ht="15.5" x14ac:dyDescent="0.35">
      <c r="I131" s="1"/>
      <c r="J131" s="45"/>
      <c r="K131" s="1"/>
    </row>
    <row r="132" spans="9:11" ht="15.5" x14ac:dyDescent="0.35">
      <c r="I132" s="1"/>
      <c r="J132" s="1"/>
      <c r="K132" s="1"/>
    </row>
    <row r="133" spans="9:11" ht="15.5" x14ac:dyDescent="0.35">
      <c r="I133" s="1"/>
      <c r="J133" s="1"/>
      <c r="K133" s="1"/>
    </row>
    <row r="134" spans="9:11" ht="15.5" x14ac:dyDescent="0.35">
      <c r="I134" s="1"/>
      <c r="J134" s="1"/>
      <c r="K134" s="1"/>
    </row>
    <row r="135" spans="9:11" ht="15.5" x14ac:dyDescent="0.35">
      <c r="I135" s="1"/>
      <c r="J135" s="1"/>
      <c r="K135" s="1"/>
    </row>
    <row r="136" spans="9:11" ht="15.5" x14ac:dyDescent="0.35">
      <c r="I136" s="1"/>
      <c r="J136" s="1"/>
      <c r="K136" s="1"/>
    </row>
    <row r="137" spans="9:11" ht="15.5" x14ac:dyDescent="0.35">
      <c r="I137" s="1"/>
      <c r="J137" s="1"/>
      <c r="K137" s="1"/>
    </row>
    <row r="138" spans="9:11" ht="15.5" x14ac:dyDescent="0.35">
      <c r="I138" s="231"/>
      <c r="J138" s="1"/>
      <c r="K138" s="1"/>
    </row>
  </sheetData>
  <pageMargins left="0.7" right="0.7" top="0.75" bottom="0.75" header="0.3" footer="0.3"/>
  <pageSetup scale="49" orientation="portrait" horizontalDpi="300" verticalDpi="300" r:id="rId1"/>
  <rowBreaks count="1" manualBreakCount="1">
    <brk id="7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135F-FF58-4910-A2B5-BB8603368CB2}">
  <sheetPr>
    <tabColor rgb="FF00B0F0"/>
  </sheetPr>
  <dimension ref="A1:D23"/>
  <sheetViews>
    <sheetView workbookViewId="0">
      <selection activeCell="D4" sqref="D4"/>
    </sheetView>
  </sheetViews>
  <sheetFormatPr defaultColWidth="8.75" defaultRowHeight="15.5" x14ac:dyDescent="0.35"/>
  <cols>
    <col min="1" max="1" width="37.75" customWidth="1"/>
    <col min="4" max="4" width="13.83203125" customWidth="1"/>
  </cols>
  <sheetData>
    <row r="1" spans="1:4" x14ac:dyDescent="0.35">
      <c r="A1" s="230"/>
      <c r="B1" s="231" t="s">
        <v>165</v>
      </c>
      <c r="C1" s="230"/>
      <c r="D1" s="1"/>
    </row>
    <row r="2" spans="1:4" x14ac:dyDescent="0.35">
      <c r="A2" s="232"/>
      <c r="B2" s="231"/>
      <c r="C2" s="1"/>
      <c r="D2" s="1"/>
    </row>
    <row r="3" spans="1:4" x14ac:dyDescent="0.35">
      <c r="A3" s="1" t="s">
        <v>166</v>
      </c>
      <c r="B3" s="1"/>
      <c r="C3" s="1"/>
      <c r="D3" s="400">
        <v>6000</v>
      </c>
    </row>
    <row r="4" spans="1:4" x14ac:dyDescent="0.35">
      <c r="A4" s="417" t="s">
        <v>429</v>
      </c>
      <c r="B4" s="1"/>
      <c r="C4" s="1"/>
      <c r="D4" s="398">
        <v>1665000</v>
      </c>
    </row>
    <row r="5" spans="1:4" x14ac:dyDescent="0.35">
      <c r="A5" s="1" t="s">
        <v>167</v>
      </c>
      <c r="B5" s="1"/>
      <c r="C5" s="1"/>
      <c r="D5" s="400">
        <v>50000</v>
      </c>
    </row>
    <row r="6" spans="1:4" x14ac:dyDescent="0.35">
      <c r="A6" s="1" t="s">
        <v>168</v>
      </c>
      <c r="B6" s="1"/>
      <c r="C6" s="1"/>
      <c r="D6" s="402" t="s">
        <v>289</v>
      </c>
    </row>
    <row r="7" spans="1:4" x14ac:dyDescent="0.35">
      <c r="A7" s="1" t="s">
        <v>290</v>
      </c>
      <c r="B7" s="1"/>
      <c r="C7" s="1"/>
      <c r="D7" s="402" t="s">
        <v>289</v>
      </c>
    </row>
    <row r="8" spans="1:4" x14ac:dyDescent="0.35">
      <c r="A8" s="1" t="s">
        <v>169</v>
      </c>
      <c r="B8" s="230"/>
      <c r="C8" s="1"/>
      <c r="D8" s="399">
        <f>'Cashflow Breakdown'!K7</f>
        <v>2282175</v>
      </c>
    </row>
    <row r="9" spans="1:4" x14ac:dyDescent="0.35">
      <c r="A9" s="1" t="s">
        <v>184</v>
      </c>
      <c r="B9" s="230"/>
      <c r="C9" s="1"/>
      <c r="D9" s="400">
        <v>7500</v>
      </c>
    </row>
    <row r="10" spans="1:4" x14ac:dyDescent="0.35">
      <c r="A10" s="1" t="s">
        <v>170</v>
      </c>
      <c r="B10" s="230"/>
      <c r="C10" s="1"/>
      <c r="D10" s="400">
        <v>0</v>
      </c>
    </row>
    <row r="11" spans="1:4" x14ac:dyDescent="0.35">
      <c r="A11" s="1" t="s">
        <v>185</v>
      </c>
      <c r="B11" s="230"/>
      <c r="C11" s="1"/>
      <c r="D11" s="400">
        <v>0</v>
      </c>
    </row>
    <row r="12" spans="1:4" x14ac:dyDescent="0.35">
      <c r="A12" s="1" t="s">
        <v>171</v>
      </c>
      <c r="B12" s="230"/>
      <c r="C12" s="1"/>
      <c r="D12" s="400">
        <v>15000</v>
      </c>
    </row>
    <row r="13" spans="1:4" x14ac:dyDescent="0.35">
      <c r="A13" s="1" t="s">
        <v>172</v>
      </c>
      <c r="B13" s="230"/>
      <c r="C13" s="1"/>
      <c r="D13" s="400">
        <v>500000</v>
      </c>
    </row>
    <row r="14" spans="1:4" x14ac:dyDescent="0.35">
      <c r="A14" s="1" t="s">
        <v>307</v>
      </c>
      <c r="B14" s="230"/>
      <c r="C14" s="1"/>
      <c r="D14" s="400">
        <v>821534</v>
      </c>
    </row>
    <row r="15" spans="1:4" x14ac:dyDescent="0.35">
      <c r="A15" s="1" t="s">
        <v>173</v>
      </c>
      <c r="B15" s="45"/>
      <c r="C15" s="1"/>
      <c r="D15" s="400">
        <v>102000</v>
      </c>
    </row>
    <row r="16" spans="1:4" x14ac:dyDescent="0.35">
      <c r="A16" s="1" t="s">
        <v>174</v>
      </c>
      <c r="B16" s="1"/>
      <c r="C16" s="1"/>
      <c r="D16" s="400">
        <v>15000</v>
      </c>
    </row>
    <row r="17" spans="1:4" x14ac:dyDescent="0.35">
      <c r="A17" s="1" t="s">
        <v>175</v>
      </c>
      <c r="B17" s="1"/>
      <c r="C17" s="1"/>
      <c r="D17" s="400">
        <v>15000</v>
      </c>
    </row>
    <row r="18" spans="1:4" x14ac:dyDescent="0.35">
      <c r="A18" s="1" t="s">
        <v>176</v>
      </c>
      <c r="B18" s="1"/>
      <c r="C18" s="1"/>
      <c r="D18" s="400">
        <v>15000</v>
      </c>
    </row>
    <row r="19" spans="1:4" x14ac:dyDescent="0.35">
      <c r="A19" s="1" t="s">
        <v>177</v>
      </c>
      <c r="B19" s="1"/>
      <c r="C19" s="1"/>
      <c r="D19" s="401" t="s">
        <v>178</v>
      </c>
    </row>
    <row r="20" spans="1:4" x14ac:dyDescent="0.35">
      <c r="A20" s="1" t="s">
        <v>179</v>
      </c>
      <c r="B20" s="1"/>
      <c r="C20" s="1"/>
      <c r="D20" s="398">
        <f>SUM('Construction Loan'!J23*'Pro Forma'!D82)</f>
        <v>40000</v>
      </c>
    </row>
    <row r="21" spans="1:4" x14ac:dyDescent="0.35">
      <c r="A21" s="1" t="s">
        <v>180</v>
      </c>
      <c r="B21" s="1"/>
      <c r="C21" s="1"/>
      <c r="D21" s="400">
        <v>7500</v>
      </c>
    </row>
    <row r="22" spans="1:4" ht="16" thickBot="1" x14ac:dyDescent="0.4">
      <c r="A22" s="1" t="s">
        <v>431</v>
      </c>
      <c r="B22" s="1"/>
      <c r="C22" s="1"/>
      <c r="D22" s="400">
        <v>75000</v>
      </c>
    </row>
    <row r="23" spans="1:4" x14ac:dyDescent="0.35">
      <c r="A23" s="231" t="s">
        <v>181</v>
      </c>
      <c r="B23" s="1"/>
      <c r="C23" s="1"/>
      <c r="D23" s="233">
        <f>SUM(D3:D22)</f>
        <v>5616709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7B6A-B594-4812-8162-1C6369486204}">
  <sheetPr>
    <tabColor rgb="FF00B0F0"/>
  </sheetPr>
  <dimension ref="A2:E9"/>
  <sheetViews>
    <sheetView workbookViewId="0">
      <selection activeCell="G34" sqref="G34"/>
    </sheetView>
  </sheetViews>
  <sheetFormatPr defaultColWidth="8.75" defaultRowHeight="15.5" x14ac:dyDescent="0.35"/>
  <cols>
    <col min="3" max="3" width="11.58203125" customWidth="1"/>
    <col min="4" max="4" width="10.75" customWidth="1"/>
  </cols>
  <sheetData>
    <row r="2" spans="1:5" x14ac:dyDescent="0.35">
      <c r="A2" s="262" t="s">
        <v>252</v>
      </c>
    </row>
    <row r="4" spans="1:5" x14ac:dyDescent="0.35">
      <c r="A4" t="s">
        <v>287</v>
      </c>
      <c r="D4" s="278">
        <v>1500000</v>
      </c>
    </row>
    <row r="5" spans="1:5" x14ac:dyDescent="0.35">
      <c r="A5" t="s">
        <v>244</v>
      </c>
      <c r="D5" s="278">
        <v>350000</v>
      </c>
      <c r="E5" t="s">
        <v>246</v>
      </c>
    </row>
    <row r="6" spans="1:5" x14ac:dyDescent="0.35">
      <c r="A6" t="s">
        <v>245</v>
      </c>
      <c r="D6" s="278">
        <v>75000</v>
      </c>
      <c r="E6" t="s">
        <v>248</v>
      </c>
    </row>
    <row r="7" spans="1:5" x14ac:dyDescent="0.35">
      <c r="A7" t="s">
        <v>247</v>
      </c>
      <c r="D7" s="278">
        <v>450000</v>
      </c>
    </row>
    <row r="8" spans="1:5" ht="16" thickBot="1" x14ac:dyDescent="0.4">
      <c r="A8" t="s">
        <v>288</v>
      </c>
      <c r="D8" s="278">
        <v>200000</v>
      </c>
    </row>
    <row r="9" spans="1:5" x14ac:dyDescent="0.35">
      <c r="C9" s="263" t="s">
        <v>249</v>
      </c>
      <c r="D9" s="264">
        <f>SUM(D4:D8)</f>
        <v>2575000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Construction Loan</vt:lpstr>
      <vt:lpstr>Perm Loan</vt:lpstr>
      <vt:lpstr>Pro Forma</vt:lpstr>
      <vt:lpstr>Annual Cash Flow</vt:lpstr>
      <vt:lpstr>Reversion</vt:lpstr>
      <vt:lpstr>Analysis</vt:lpstr>
      <vt:lpstr>Cashflow Breakdown</vt:lpstr>
      <vt:lpstr>Soft Costs</vt:lpstr>
      <vt:lpstr>Specialty Costs RES</vt:lpstr>
      <vt:lpstr>Startup Cost</vt:lpstr>
      <vt:lpstr>Operational Expenses</vt:lpstr>
      <vt:lpstr>Project Summary</vt:lpstr>
      <vt:lpstr>Analysis!Print_Area</vt:lpstr>
      <vt:lpstr>'Annual Cash Flow'!Print_Area</vt:lpstr>
      <vt:lpstr>'Construction Loan'!Print_Area</vt:lpstr>
      <vt:lpstr>'Perm Loan'!Print_Area</vt:lpstr>
      <vt:lpstr>'Pro Forma'!Print_Area</vt:lpstr>
      <vt:lpstr>Reversion!Print_Area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Aundre Oldacre</cp:lastModifiedBy>
  <cp:lastPrinted>2019-12-08T17:10:39Z</cp:lastPrinted>
  <dcterms:created xsi:type="dcterms:W3CDTF">2016-09-30T18:26:40Z</dcterms:created>
  <dcterms:modified xsi:type="dcterms:W3CDTF">2024-05-08T13:49:11Z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{67378734-348D-41B1-9F83-F27C274BF4FE}</vt:lpwstr>
  </property>
</Properties>
</file>