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38620" windowHeight="21100" tabRatio="635" firstSheet="0" activeTab="1" autoFilterDateGrouping="1"/>
  </bookViews>
  <sheets>
    <sheet name="Construction Loan" sheetId="1" state="visible" r:id="rId1"/>
    <sheet name="Perm Loan" sheetId="2" state="visible" r:id="rId2"/>
    <sheet name="Pro Forma" sheetId="3" state="visible" r:id="rId3"/>
    <sheet name="Annual Cash Flow" sheetId="4" state="visible" r:id="rId4"/>
    <sheet name="Reversion" sheetId="5" state="visible" r:id="rId5"/>
    <sheet name="Analysis" sheetId="6" state="visible" r:id="rId6"/>
    <sheet name="Cashflow Breakdown" sheetId="7" state="visible" r:id="rId7"/>
    <sheet name="Soft Costs" sheetId="8" state="visible" r:id="rId8"/>
    <sheet name="Specialty Costs RES" sheetId="9" state="visible" r:id="rId9"/>
    <sheet name="Startup Cost" sheetId="10" state="visible" r:id="rId10"/>
    <sheet name="Operational Expenses" sheetId="11" state="visible" r:id="rId11"/>
    <sheet name="Project Summary" sheetId="12" state="visible" r:id="rId12"/>
    <sheet name="Unit Mix" sheetId="13" state="visible" r:id="rId13"/>
  </sheets>
  <definedNames>
    <definedName name="\p">#REF!</definedName>
    <definedName name="_ADR1">#REF!</definedName>
    <definedName name="_Fill" hidden="1">#REF!</definedName>
    <definedName name="_INC4">#REF!</definedName>
    <definedName name="_INC5">#REF!</definedName>
    <definedName name="_NI1">#REF!</definedName>
    <definedName name="_NI2">#REF!</definedName>
    <definedName name="_OCC1">#REF!</definedName>
    <definedName name="_Table2_In1" hidden="1">#REF!</definedName>
    <definedName name="_Table2_In2" hidden="1">#REF!</definedName>
    <definedName name="_YR1">#REF!</definedName>
    <definedName name="ADRAFTER">#REF!</definedName>
    <definedName name="ADRB4">#REF!</definedName>
    <definedName name="ADRINC">#REF!</definedName>
    <definedName name="BEGADR">#REF!</definedName>
    <definedName name="BEGOCC">#REF!</definedName>
    <definedName name="CHOICE">#REF!</definedName>
    <definedName name="ENDADR">#REF!</definedName>
    <definedName name="ENDOCC">#REF!</definedName>
    <definedName name="FB">#REF!</definedName>
    <definedName name="FIX">#REF!</definedName>
    <definedName name="FOOD1">#REF!</definedName>
    <definedName name="FOOD2">#REF!</definedName>
    <definedName name="HCS">#REF!</definedName>
    <definedName name="INC">#REF!</definedName>
    <definedName name="LOOK1">#REF!</definedName>
    <definedName name="LOOK2">#REF!</definedName>
    <definedName name="LOOK3">#REF!</definedName>
    <definedName name="OCCAFTER">#REF!</definedName>
    <definedName name="OCCB4">#REF!</definedName>
    <definedName name="OCCINC">#REF!</definedName>
    <definedName name="SPSCH">#REF!</definedName>
    <definedName name="SPSCH4">#REF!</definedName>
    <definedName name="SPSCH5">#REF!</definedName>
    <definedName name="STABADR">#REF!</definedName>
    <definedName name="STABOCC">#REF!</definedName>
    <definedName name="STABYEAR">#REF!</definedName>
    <definedName name="SUPPORT">#REF!</definedName>
    <definedName name="TABLE1">#REF!</definedName>
    <definedName name="TABLE2">#REF!</definedName>
    <definedName name="wrn.Both._.Outputs." hidden="1">{"LTV Output",#N/A,FALSE,"Output";"DCR Output",#N/A,FALSE,"Output"}</definedName>
    <definedName name="wrn.DCR._.Output." hidden="1">{"DCR Output",#N/A,FALSE,"Output"}</definedName>
    <definedName name="wrn.Inputs." hidden="1">{"Inflation-BaseYear",#N/A,FALSE,"Inputs"}</definedName>
    <definedName name="wrn.LTV._.Output." hidden="1">{"LTV Output",#N/A,FALSE,"Output"}</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YR2TO5">#REF!</definedName>
    <definedName name="YR6TO9">#REF!</definedName>
    <definedName name="_xlnm.Print_Area" localSheetId="0">'Construction Loan'!$C$2:$K$43</definedName>
    <definedName name="_xlnm.Print_Area" localSheetId="1">'Perm Loan'!$C$2:$K$43</definedName>
    <definedName name="_xlnm.Print_Area" localSheetId="2">'Pro Forma'!$B$1:$L$76</definedName>
    <definedName name="\p" localSheetId="3">#REF!</definedName>
    <definedName name="_ADR1" localSheetId="3">#REF!</definedName>
    <definedName name="_Fill" localSheetId="3" hidden="1">#REF!</definedName>
    <definedName name="SPSCH" localSheetId="3">#REF!</definedName>
    <definedName name="SPSCH4" localSheetId="3">#REF!</definedName>
    <definedName name="SPSCH5" localSheetId="3">#REF!</definedName>
    <definedName name="wrn.Both._.Outputs." localSheetId="3" hidden="1">{"LTV Output",#N/A,FALSE,"Output";"DCR Output",#N/A,FALSE,"Output"}</definedName>
    <definedName name="wrn.DCR._.Output." localSheetId="3" hidden="1">{"DCR Output",#N/A,FALSE,"Output"}</definedName>
    <definedName name="wrn.Inputs." localSheetId="3" hidden="1">{"Inflation-BaseYear",#N/A,FALSE,"Inputs"}</definedName>
    <definedName name="wrn.LTV._.Output." localSheetId="3" hidden="1">{"LTV Output",#N/A,FALSE,"Output"}</definedName>
    <definedName name="wrn.Output3Column." localSheetId="3" hidden="1">{"Output-3Column",#N/A,FALSE,"Output"}</definedName>
    <definedName name="wrn.OutputAll." localSheetId="3" hidden="1">{"Output-All",#N/A,FALSE,"Output"}</definedName>
    <definedName name="wrn.OutputBaseYear." localSheetId="3" hidden="1">{"Output-BaseYear",#N/A,FALSE,"Output"}</definedName>
    <definedName name="wrn.OutputMin." localSheetId="3" hidden="1">{"Output-Min",#N/A,FALSE,"Output"}</definedName>
    <definedName name="wrn.OutputPercent." localSheetId="3" hidden="1">{"Output%",#N/A,FALSE,"Output"}</definedName>
    <definedName name="_xlnm.Print_Area" localSheetId="3">'Annual Cash Flow'!$B$1:$H$41</definedName>
    <definedName name="\p" localSheetId="4">#REF!</definedName>
    <definedName name="_ADR1" localSheetId="4">#REF!</definedName>
    <definedName name="_Fill" localSheetId="4" hidden="1">#REF!</definedName>
    <definedName name="SPSCH" localSheetId="4">#REF!</definedName>
    <definedName name="SPSCH4" localSheetId="4">#REF!</definedName>
    <definedName name="SPSCH5" localSheetId="4">#REF!</definedName>
    <definedName name="wrn.Both._.Outputs." localSheetId="4" hidden="1">{"LTV Output",#N/A,FALSE,"Output";"DCR Output",#N/A,FALSE,"Output"}</definedName>
    <definedName name="wrn.DCR._.Output." localSheetId="4" hidden="1">{"DCR Output",#N/A,FALSE,"Output"}</definedName>
    <definedName name="wrn.Inputs." localSheetId="4" hidden="1">{"Inflation-BaseYear",#N/A,FALSE,"Inputs"}</definedName>
    <definedName name="wrn.LTV._.Output." localSheetId="4" hidden="1">{"LTV Output",#N/A,FALSE,"Output"}</definedName>
    <definedName name="wrn.Output3Column." localSheetId="4" hidden="1">{"Output-3Column",#N/A,FALSE,"Output"}</definedName>
    <definedName name="wrn.OutputAll." localSheetId="4" hidden="1">{"Output-All",#N/A,FALSE,"Output"}</definedName>
    <definedName name="wrn.OutputBaseYear." localSheetId="4" hidden="1">{"Output-BaseYear",#N/A,FALSE,"Output"}</definedName>
    <definedName name="wrn.OutputMin." localSheetId="4" hidden="1">{"Output-Min",#N/A,FALSE,"Output"}</definedName>
    <definedName name="wrn.OutputPercent." localSheetId="4" hidden="1">{"Output%",#N/A,FALSE,"Output"}</definedName>
    <definedName name="_xlnm.Print_Area" localSheetId="4">'Reversion'!$B$1:$H$25</definedName>
    <definedName name="\p" localSheetId="5">#REF!</definedName>
    <definedName name="_ADR1" localSheetId="5">#REF!</definedName>
    <definedName name="_Fill" localSheetId="5" hidden="1">#REF!</definedName>
    <definedName name="SPSCH" localSheetId="5">#REF!</definedName>
    <definedName name="SPSCH4" localSheetId="5">#REF!</definedName>
    <definedName name="SPSCH5" localSheetId="5">#REF!</definedName>
    <definedName name="wrn.Both._.Outputs." localSheetId="5" hidden="1">{"LTV Output",#N/A,FALSE,"Output";"DCR Output",#N/A,FALSE,"Output"}</definedName>
    <definedName name="wrn.DCR._.Output." localSheetId="5" hidden="1">{"DCR Output",#N/A,FALSE,"Output"}</definedName>
    <definedName name="wrn.Inputs." localSheetId="5" hidden="1">{"Inflation-BaseYear",#N/A,FALSE,"Inputs"}</definedName>
    <definedName name="wrn.LTV._.Output." localSheetId="5" hidden="1">{"LTV Output",#N/A,FALSE,"Output"}</definedName>
    <definedName name="wrn.Output3Column." localSheetId="5" hidden="1">{"Output-3Column",#N/A,FALSE,"Output"}</definedName>
    <definedName name="wrn.OutputAll." localSheetId="5" hidden="1">{"Output-All",#N/A,FALSE,"Output"}</definedName>
    <definedName name="wrn.OutputBaseYear." localSheetId="5" hidden="1">{"Output-BaseYear",#N/A,FALSE,"Output"}</definedName>
    <definedName name="wrn.OutputMin." localSheetId="5" hidden="1">{"Output-Min",#N/A,FALSE,"Output"}</definedName>
    <definedName name="wrn.OutputPercent." localSheetId="5" hidden="1">{"Output%",#N/A,FALSE,"Output"}</definedName>
    <definedName name="_xlnm.Print_Area" localSheetId="5">'Analysis'!$B$1:$K$39</definedName>
    <definedName name="\p" localSheetId="6">#REF!</definedName>
    <definedName name="_ADR1" localSheetId="6">#REF!</definedName>
    <definedName name="_Fill" localSheetId="6" hidden="1">#REF!</definedName>
    <definedName name="SPSCH" localSheetId="6">#REF!</definedName>
    <definedName name="SPSCH4" localSheetId="6">#REF!</definedName>
    <definedName name="SPSCH5" localSheetId="6">#REF!</definedName>
    <definedName name="wrn.Both._.Outputs." localSheetId="6" hidden="1">{"LTV Output",#N/A,FALSE,"Output";"DCR Output",#N/A,FALSE,"Output"}</definedName>
    <definedName name="wrn.DCR._.Output." localSheetId="6" hidden="1">{"DCR Output",#N/A,FALSE,"Output"}</definedName>
    <definedName name="wrn.Inputs." localSheetId="6" hidden="1">{"Inflation-BaseYear",#N/A,FALSE,"Inputs"}</definedName>
    <definedName name="wrn.LTV._.Output." localSheetId="6" hidden="1">{"LTV Output",#N/A,FALSE,"Output"}</definedName>
    <definedName name="wrn.Output3Column." localSheetId="6" hidden="1">{"Output-3Column",#N/A,FALSE,"Output"}</definedName>
    <definedName name="wrn.OutputAll." localSheetId="6" hidden="1">{"Output-All",#N/A,FALSE,"Output"}</definedName>
    <definedName name="wrn.OutputBaseYear." localSheetId="6" hidden="1">{"Output-BaseYear",#N/A,FALSE,"Output"}</definedName>
    <definedName name="wrn.OutputMin." localSheetId="6" hidden="1">{"Output-Min",#N/A,FALSE,"Output"}</definedName>
    <definedName name="wrn.OutputPercent." localSheetId="6" hidden="1">{"Output%",#N/A,FALSE,"Output"}</definedName>
  </definedNames>
  <calcPr calcId="191029" fullCalcOnLoad="1" iterate="1" iterateCount="1000" iterateDelta="1e-05"/>
</workbook>
</file>

<file path=xl/styles.xml><?xml version="1.0" encoding="utf-8"?>
<styleSheet xmlns="http://schemas.openxmlformats.org/spreadsheetml/2006/main">
  <numFmts count="14">
    <numFmt numFmtId="164" formatCode="_(* #,##0_);_(* \(#,##0\);_(* &quot;-&quot;??_);_(@_)"/>
    <numFmt numFmtId="165" formatCode="0.0%"/>
    <numFmt numFmtId="166" formatCode="_(&quot;$&quot;* #,##0_);_(&quot;$&quot;* \(#,##0\);_(&quot;$&quot;* &quot;-&quot;??_);_(@_)"/>
    <numFmt numFmtId="167" formatCode="&quot;$&quot;#,##0_);[Red]\(&quot;$&quot;#,##0\)"/>
    <numFmt numFmtId="168" formatCode="_(&quot;$&quot;* #,##0_);_(&quot;$&quot;* \(#,##0\);_(&quot;$&quot;* &quot;-&quot;?_);_(@_)"/>
    <numFmt numFmtId="169" formatCode="_([$$-409]* #,##0.00_);_([$$-409]* \(#,##0.00\);_([$$-409]* &quot;-&quot;??_);_(@_)"/>
    <numFmt numFmtId="170" formatCode="&quot;$&quot;#,##0.00_);[Red]\(&quot;$&quot;#,##0.00\)"/>
    <numFmt numFmtId="171" formatCode="_(&quot;$&quot;* #,##0.00_);_(&quot;$&quot;* \(#,##0.00\);_(&quot;$&quot;* &quot;-&quot;??_);_(@_)"/>
    <numFmt numFmtId="172" formatCode="&quot;$&quot;#,##0"/>
    <numFmt numFmtId="173" formatCode="0.00%\ &quot;Stabilized Cap Rate&quot;"/>
    <numFmt numFmtId="174" formatCode="&quot;$&quot;#,##0_);\(&quot;$&quot;#,##0\)"/>
    <numFmt numFmtId="175" formatCode="0%&quot; Mix&quot;"/>
    <numFmt numFmtId="176" formatCode="&quot;Architect (&quot;&quot;$&quot;0.00&quot;/sf)&quot;"/>
    <numFmt numFmtId="177" formatCode="&quot;$&quot;#,##0.00"/>
  </numFmts>
  <fonts count="40">
    <font>
      <name val="Calibri"/>
      <family val="2"/>
      <color theme="1"/>
      <sz val="12"/>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2"/>
      <scheme val="minor"/>
    </font>
    <font>
      <name val="Verdana"/>
      <family val="2"/>
      <sz val="8"/>
    </font>
    <font>
      <name val="Calibri"/>
      <family val="2"/>
      <color theme="10"/>
      <sz val="12"/>
      <u val="single"/>
      <scheme val="minor"/>
    </font>
    <font>
      <name val="Calibri"/>
      <family val="2"/>
      <color theme="11"/>
      <sz val="12"/>
      <u val="single"/>
      <scheme val="minor"/>
    </font>
    <font>
      <name val="Arial"/>
      <family val="2"/>
      <color theme="1"/>
      <sz val="12"/>
    </font>
    <font>
      <name val="Arial"/>
      <family val="2"/>
      <b val="1"/>
      <color theme="1"/>
      <sz val="16"/>
    </font>
    <font>
      <name val="Arial"/>
      <family val="2"/>
      <color indexed="8"/>
      <sz val="12"/>
    </font>
    <font>
      <name val="Arial"/>
      <family val="2"/>
      <color indexed="9"/>
      <sz val="12"/>
    </font>
    <font>
      <name val="Arial"/>
      <family val="2"/>
      <b val="1"/>
      <color theme="1"/>
      <sz val="12"/>
    </font>
    <font>
      <name val="Arial"/>
      <family val="2"/>
      <b val="1"/>
      <color indexed="8"/>
      <sz val="12"/>
    </font>
    <font>
      <name val="Arial"/>
      <family val="2"/>
      <sz val="12"/>
    </font>
    <font>
      <name val="Arial"/>
      <family val="2"/>
      <sz val="10"/>
    </font>
    <font>
      <name val="Arial"/>
      <family val="2"/>
      <b val="1"/>
      <sz val="12"/>
    </font>
    <font>
      <name val="Calibri"/>
      <family val="2"/>
      <color rgb="FF9C0006"/>
      <sz val="11"/>
      <scheme val="minor"/>
    </font>
    <font>
      <name val="Calibri"/>
      <family val="2"/>
      <b val="1"/>
      <color theme="0"/>
      <sz val="12"/>
      <scheme val="minor"/>
    </font>
    <font>
      <name val="Calibri"/>
      <family val="2"/>
      <color theme="0"/>
      <sz val="12"/>
      <scheme val="minor"/>
    </font>
    <font>
      <name val="Calibri"/>
      <family val="2"/>
      <sz val="12"/>
      <scheme val="minor"/>
    </font>
    <font>
      <name val="Arial"/>
      <family val="2"/>
      <sz val="10"/>
    </font>
    <font>
      <name val="Arial"/>
      <family val="2"/>
      <b val="1"/>
      <sz val="10"/>
    </font>
    <font>
      <name val="Tahoma"/>
      <family val="2"/>
      <b val="1"/>
      <color indexed="81"/>
      <sz val="9"/>
    </font>
    <font>
      <name val="Tahoma"/>
      <family val="2"/>
      <color indexed="81"/>
      <sz val="9"/>
    </font>
    <font>
      <name val="Calibri"/>
      <family val="2"/>
      <b val="1"/>
      <color theme="1"/>
      <sz val="11"/>
      <scheme val="minor"/>
    </font>
    <font>
      <name val="Calibri"/>
      <family val="2"/>
      <b val="1"/>
      <color theme="1"/>
      <sz val="14"/>
      <scheme val="minor"/>
    </font>
    <font>
      <name val="Calibri"/>
      <family val="2"/>
      <b val="1"/>
      <color theme="1"/>
      <sz val="12"/>
      <scheme val="minor"/>
    </font>
    <font>
      <name val="Calibri"/>
      <family val="2"/>
      <color theme="1"/>
      <sz val="14"/>
      <scheme val="minor"/>
    </font>
    <font>
      <name val="Calibri"/>
      <family val="2"/>
      <b val="1"/>
      <color theme="1"/>
      <sz val="13"/>
      <scheme val="minor"/>
    </font>
    <font>
      <name val="Calibri"/>
      <family val="2"/>
      <b val="1"/>
      <color theme="1"/>
      <sz val="13"/>
      <scheme val="minor"/>
    </font>
    <font>
      <name val="Calibri"/>
      <family val="2"/>
      <color theme="1"/>
      <sz val="14"/>
      <scheme val="minor"/>
    </font>
    <font>
      <name val="Arial"/>
      <family val="2"/>
      <color theme="1"/>
      <sz val="11"/>
    </font>
    <font>
      <name val="Calibri"/>
      <family val="2"/>
      <color theme="1"/>
      <sz val="11"/>
    </font>
    <font>
      <name val="Arial"/>
      <family val="2"/>
      <sz val="10"/>
    </font>
    <font>
      <name val="Calibri"/>
      <family val="2"/>
      <b val="1"/>
      <color rgb="FF9C0006"/>
      <sz val="11"/>
      <scheme val="minor"/>
    </font>
  </fonts>
  <fills count="17">
    <fill>
      <patternFill/>
    </fill>
    <fill>
      <patternFill patternType="gray125"/>
    </fill>
    <fill>
      <patternFill patternType="solid">
        <fgColor theme="0" tint="-0.0499893185216834"/>
        <bgColor indexed="64"/>
      </patternFill>
    </fill>
    <fill>
      <patternFill patternType="solid">
        <fgColor theme="0" tint="-0.3499862666707358"/>
        <bgColor indexed="64"/>
      </patternFill>
    </fill>
    <fill>
      <patternFill patternType="solid">
        <fgColor theme="4" tint="0.7999816888943144"/>
        <bgColor indexed="64"/>
      </patternFill>
    </fill>
    <fill>
      <patternFill patternType="solid">
        <fgColor rgb="FFFFC7CE"/>
      </patternFill>
    </fill>
    <fill>
      <patternFill patternType="solid">
        <fgColor rgb="FFFFDDE1"/>
        <bgColor indexed="64"/>
      </patternFill>
    </fill>
    <fill>
      <patternFill patternType="solid">
        <fgColor rgb="FF002060"/>
        <bgColor indexed="64"/>
      </patternFill>
    </fill>
    <fill>
      <patternFill patternType="solid">
        <fgColor theme="0"/>
        <bgColor indexed="64"/>
      </patternFill>
    </fill>
    <fill>
      <patternFill patternType="solid">
        <fgColor theme="3" tint="0.7999816888943144"/>
        <bgColor indexed="64"/>
      </patternFill>
    </fill>
    <fill>
      <patternFill patternType="solid">
        <fgColor theme="6" tint="0.5999938962981048"/>
        <bgColor indexed="64"/>
      </patternFill>
    </fill>
    <fill>
      <patternFill patternType="solid">
        <fgColor theme="9" tint="0.5999938962981048"/>
        <bgColor indexed="64"/>
      </patternFill>
    </fill>
    <fill>
      <patternFill patternType="solid">
        <fgColor theme="0" tint="-0.1499984740745262"/>
        <bgColor indexed="64"/>
      </patternFill>
    </fill>
    <fill>
      <patternFill patternType="solid">
        <fgColor theme="5" tint="0.5999938962981048"/>
        <bgColor indexed="64"/>
      </patternFill>
    </fill>
    <fill>
      <patternFill patternType="solid">
        <fgColor rgb="FFFAC249"/>
        <bgColor indexed="64"/>
      </patternFill>
    </fill>
    <fill>
      <patternFill patternType="solid">
        <fgColor rgb="FFFFFF00"/>
        <bgColor indexed="64"/>
      </patternFill>
    </fill>
    <fill>
      <patternFill patternType="solid">
        <fgColor theme="4" tint="0.5999938962981048"/>
        <bgColor indexed="64"/>
      </patternFill>
    </fill>
  </fills>
  <borders count="62">
    <border>
      <left/>
      <right/>
      <top/>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right style="medium">
        <color auto="1"/>
      </right>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right/>
      <top/>
      <bottom style="thin">
        <color auto="1"/>
      </bottom>
      <diagonal/>
    </border>
    <border>
      <left style="medium">
        <color auto="1"/>
      </left>
      <right/>
      <top/>
      <bottom/>
      <diagonal/>
    </border>
    <border>
      <left style="medium">
        <color auto="1"/>
      </left>
      <right/>
      <top/>
      <bottom style="thin">
        <color auto="1"/>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bottom style="thin">
        <color theme="0" tint="-0.249946592608417"/>
      </bottom>
      <diagonal/>
    </border>
    <border>
      <left/>
      <right/>
      <top/>
      <bottom style="thin">
        <color theme="0" tint="-0.249946592608417"/>
      </bottom>
      <diagonal/>
    </border>
    <border>
      <left/>
      <right style="medium">
        <color auto="1"/>
      </right>
      <top/>
      <bottom style="thin">
        <color theme="0" tint="-0.249946592608417"/>
      </bottom>
      <diagonal/>
    </border>
    <border>
      <left style="medium">
        <color auto="1"/>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medium">
        <color auto="1"/>
      </right>
      <top style="thin">
        <color theme="0" tint="-0.249946592608417"/>
      </top>
      <bottom style="thin">
        <color theme="0" tint="-0.249946592608417"/>
      </bottom>
      <diagonal/>
    </border>
    <border>
      <left style="medium">
        <color auto="1"/>
      </left>
      <right/>
      <top style="thin">
        <color theme="0" tint="-0.249946592608417"/>
      </top>
      <bottom style="thin">
        <color auto="1"/>
      </bottom>
      <diagonal/>
    </border>
    <border>
      <left/>
      <right/>
      <top style="thin">
        <color theme="0" tint="-0.249946592608417"/>
      </top>
      <bottom style="thin">
        <color auto="1"/>
      </bottom>
      <diagonal/>
    </border>
    <border>
      <left/>
      <right style="medium">
        <color auto="1"/>
      </right>
      <top style="thin">
        <color theme="0" tint="-0.249946592608417"/>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theme="0" tint="-0.249946592608417"/>
      </bottom>
      <diagonal/>
    </border>
    <border>
      <left style="thin">
        <color theme="0" tint="-0.1499679555650502"/>
      </left>
      <right style="medium">
        <color auto="1"/>
      </right>
      <top style="thin">
        <color theme="0" tint="-0.1499679555650502"/>
      </top>
      <bottom style="thin">
        <color theme="0" tint="-0.1499679555650502"/>
      </bottom>
      <diagonal/>
    </border>
    <border>
      <left style="thin">
        <color theme="0" tint="-0.1499679555650502"/>
      </left>
      <right style="thin">
        <color theme="0" tint="-0.1499679555650502"/>
      </right>
      <top style="thin">
        <color theme="0" tint="-0.1499679555650502"/>
      </top>
      <bottom style="medium">
        <color auto="1"/>
      </bottom>
      <diagonal/>
    </border>
    <border>
      <left style="thin">
        <color theme="0" tint="-0.1499679555650502"/>
      </left>
      <right style="thin">
        <color theme="0" tint="-0.1499679555650502"/>
      </right>
      <top style="thin">
        <color theme="0" tint="-0.249946592608417"/>
      </top>
      <bottom style="thin">
        <color theme="0" tint="-0.249946592608417"/>
      </bottom>
      <diagonal/>
    </border>
    <border>
      <left style="thin">
        <color theme="0" tint="-0.1499679555650502"/>
      </left>
      <right style="thin">
        <color theme="0" tint="-0.1499679555650502"/>
      </right>
      <top style="thin">
        <color theme="0" tint="-0.249946592608417"/>
      </top>
      <bottom style="thin">
        <color auto="1"/>
      </bottom>
      <diagonal/>
    </border>
    <border>
      <left/>
      <right style="thin">
        <color theme="0" tint="-0.1499679555650502"/>
      </right>
      <top style="medium">
        <color auto="1"/>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medium">
        <color auto="1"/>
      </right>
      <top style="thin">
        <color auto="1"/>
      </top>
      <bottom/>
      <diagonal/>
    </border>
    <border>
      <left/>
      <right/>
      <top style="thick">
        <color auto="1"/>
      </top>
      <bottom/>
      <diagonal/>
    </border>
    <border>
      <left/>
      <right/>
      <top style="thin">
        <color auto="1"/>
      </top>
      <bottom style="double">
        <color auto="1"/>
      </bottom>
      <diagonal/>
    </border>
    <border>
      <left/>
      <right/>
      <top/>
      <bottom style="double">
        <color auto="1"/>
      </bottom>
      <diagonal/>
    </border>
    <border>
      <left style="medium">
        <color auto="1"/>
      </left>
      <right style="thin">
        <color auto="1"/>
      </right>
      <top style="thin">
        <color auto="1"/>
      </top>
      <bottom style="thin">
        <color indexed="64"/>
      </bottom>
      <diagonal/>
    </border>
    <border>
      <left style="thin">
        <color auto="1"/>
      </left>
      <right style="thin">
        <color theme="0" tint="-0.1499679555650502"/>
      </right>
      <top/>
      <bottom style="thin">
        <color auto="1"/>
      </bottom>
      <diagonal/>
    </border>
    <border>
      <left style="thin">
        <color theme="0" tint="-0.1499679555650502"/>
      </left>
      <right style="thin">
        <color theme="0" tint="-0.1499374370555742"/>
      </right>
      <top/>
      <bottom style="thin">
        <color indexed="64"/>
      </bottom>
      <diagonal/>
    </border>
    <border>
      <left style="thin">
        <color auto="1"/>
      </left>
      <right style="thin">
        <color theme="0" tint="-0.1499679555650502"/>
      </right>
      <top style="thin">
        <color auto="1"/>
      </top>
      <bottom style="thin">
        <color indexed="64"/>
      </bottom>
      <diagonal/>
    </border>
    <border>
      <left style="thin">
        <color theme="0" tint="-0.1499679555650502"/>
      </left>
      <right style="thin">
        <color theme="0" tint="-0.1499374370555742"/>
      </right>
      <top style="thin">
        <color auto="1"/>
      </top>
      <bottom style="thin">
        <color indexed="64"/>
      </bottom>
      <diagonal/>
    </border>
    <border>
      <left/>
      <right style="medium">
        <color auto="1"/>
      </right>
      <top style="medium">
        <color auto="1"/>
      </top>
      <bottom style="thin">
        <color auto="1"/>
      </bottom>
      <diagonal/>
    </border>
  </borders>
  <cellStyleXfs count="15">
    <xf numFmtId="0" fontId="8" fillId="0" borderId="0"/>
    <xf numFmtId="0" fontId="10" fillId="0" borderId="0"/>
    <xf numFmtId="0" fontId="11" fillId="0" borderId="0"/>
    <xf numFmtId="0" fontId="8" fillId="0" borderId="0"/>
    <xf numFmtId="43" fontId="8" fillId="0" borderId="0"/>
    <xf numFmtId="9" fontId="8" fillId="0" borderId="0"/>
    <xf numFmtId="9" fontId="38" fillId="0" borderId="0"/>
    <xf numFmtId="44" fontId="8" fillId="0" borderId="0"/>
    <xf numFmtId="0" fontId="21" fillId="5" borderId="0"/>
    <xf numFmtId="0" fontId="38" fillId="0" borderId="0"/>
    <xf numFmtId="43" fontId="38" fillId="0" borderId="0"/>
    <xf numFmtId="44" fontId="38" fillId="0" borderId="0"/>
    <xf numFmtId="0" fontId="7" fillId="0" borderId="0"/>
    <xf numFmtId="0" fontId="38" fillId="0" borderId="0"/>
    <xf numFmtId="0" fontId="38" fillId="0" borderId="0"/>
  </cellStyleXfs>
  <cellXfs count="499">
    <xf numFmtId="0" fontId="0" fillId="0" borderId="0" pivotButton="0" quotePrefix="0" xfId="0"/>
    <xf numFmtId="0" fontId="12" fillId="0" borderId="0" pivotButton="0" quotePrefix="0" xfId="39"/>
    <xf numFmtId="0" fontId="12" fillId="0" borderId="0" applyAlignment="1" pivotButton="0" quotePrefix="0" xfId="39">
      <alignment horizontal="center" vertical="center"/>
    </xf>
    <xf numFmtId="0" fontId="12" fillId="0" borderId="0" applyAlignment="1" pivotButton="0" quotePrefix="0" xfId="39">
      <alignment horizontal="left"/>
    </xf>
    <xf numFmtId="164" fontId="18" fillId="0" borderId="0" pivotButton="0" quotePrefix="0" xfId="40"/>
    <xf numFmtId="164" fontId="14" fillId="0" borderId="0" pivotButton="0" quotePrefix="0" xfId="40"/>
    <xf numFmtId="164" fontId="18" fillId="0" borderId="0" pivotButton="0" quotePrefix="0" xfId="40"/>
    <xf numFmtId="0" fontId="12" fillId="0" borderId="1" pivotButton="0" quotePrefix="0" xfId="39"/>
    <xf numFmtId="0" fontId="12" fillId="0" borderId="0" applyAlignment="1" pivotButton="0" quotePrefix="0" xfId="39">
      <alignment horizontal="center"/>
    </xf>
    <xf numFmtId="0" fontId="17" fillId="0" borderId="11" pivotButton="0" quotePrefix="0" xfId="39"/>
    <xf numFmtId="0" fontId="12" fillId="0" borderId="5" pivotButton="0" quotePrefix="0" xfId="39"/>
    <xf numFmtId="164" fontId="17" fillId="0" borderId="5" applyAlignment="1" pivotButton="0" quotePrefix="0" xfId="40">
      <alignment horizontal="center"/>
    </xf>
    <xf numFmtId="0" fontId="12" fillId="0" borderId="5" applyAlignment="1" pivotButton="0" quotePrefix="0" xfId="39">
      <alignment horizontal="center"/>
    </xf>
    <xf numFmtId="0" fontId="12" fillId="0" borderId="6" applyAlignment="1" pivotButton="0" quotePrefix="0" xfId="39">
      <alignment horizontal="center"/>
    </xf>
    <xf numFmtId="0" fontId="12" fillId="0" borderId="9" applyAlignment="1" pivotButton="0" quotePrefix="0" xfId="39">
      <alignment horizontal="center"/>
    </xf>
    <xf numFmtId="0" fontId="15" fillId="0" borderId="0" applyAlignment="1" pivotButton="0" quotePrefix="0" xfId="39">
      <alignment horizontal="right"/>
    </xf>
    <xf numFmtId="164" fontId="14" fillId="0" borderId="0" applyAlignment="1" pivotButton="0" quotePrefix="0" xfId="40">
      <alignment horizontal="center"/>
    </xf>
    <xf numFmtId="0" fontId="12" fillId="0" borderId="3" applyAlignment="1" pivotButton="0" quotePrefix="0" xfId="39">
      <alignment horizontal="center"/>
    </xf>
    <xf numFmtId="0" fontId="16" fillId="0" borderId="9" applyAlignment="1" pivotButton="0" quotePrefix="0" xfId="39">
      <alignment horizontal="center"/>
    </xf>
    <xf numFmtId="0" fontId="16" fillId="0" borderId="0" applyAlignment="1" pivotButton="0" quotePrefix="0" xfId="39">
      <alignment horizontal="center"/>
    </xf>
    <xf numFmtId="164" fontId="17" fillId="0" borderId="0" applyAlignment="1" pivotButton="0" quotePrefix="0" xfId="40">
      <alignment horizontal="center"/>
    </xf>
    <xf numFmtId="0" fontId="16" fillId="0" borderId="3" applyAlignment="1" pivotButton="0" quotePrefix="0" xfId="39">
      <alignment horizontal="center"/>
    </xf>
    <xf numFmtId="0" fontId="16" fillId="0" borderId="10" applyAlignment="1" pivotButton="0" quotePrefix="0" xfId="39">
      <alignment horizontal="center"/>
    </xf>
    <xf numFmtId="0" fontId="16" fillId="0" borderId="8" applyAlignment="1" pivotButton="0" quotePrefix="0" xfId="39">
      <alignment horizontal="center"/>
    </xf>
    <xf numFmtId="164" fontId="17" fillId="0" borderId="8" applyAlignment="1" pivotButton="0" quotePrefix="0" xfId="40">
      <alignment horizontal="center"/>
    </xf>
    <xf numFmtId="164" fontId="16" fillId="0" borderId="4" applyAlignment="1" pivotButton="0" quotePrefix="0" xfId="40">
      <alignment horizontal="center"/>
    </xf>
    <xf numFmtId="164" fontId="18" fillId="0" borderId="3" applyAlignment="1" pivotButton="0" quotePrefix="0" xfId="40">
      <alignment horizontal="center"/>
    </xf>
    <xf numFmtId="0" fontId="12" fillId="2" borderId="16" applyAlignment="1" pivotButton="0" quotePrefix="0" xfId="39">
      <alignment horizontal="center"/>
    </xf>
    <xf numFmtId="0" fontId="12" fillId="0" borderId="2" applyAlignment="1" pivotButton="0" quotePrefix="0" xfId="39">
      <alignment horizontal="center"/>
    </xf>
    <xf numFmtId="0" fontId="12" fillId="0" borderId="1" applyAlignment="1" pivotButton="0" quotePrefix="0" xfId="39">
      <alignment horizontal="center"/>
    </xf>
    <xf numFmtId="0" fontId="12" fillId="0" borderId="11" applyAlignment="1" pivotButton="0" quotePrefix="0" xfId="39">
      <alignment horizontal="center"/>
    </xf>
    <xf numFmtId="0" fontId="12" fillId="3" borderId="12" applyAlignment="1" pivotButton="0" quotePrefix="0" xfId="39">
      <alignment horizontal="center"/>
    </xf>
    <xf numFmtId="164" fontId="14" fillId="0" borderId="11" pivotButton="0" quotePrefix="0" xfId="40"/>
    <xf numFmtId="0" fontId="17" fillId="0" borderId="0" pivotButton="0" quotePrefix="0" xfId="39"/>
    <xf numFmtId="0" fontId="16" fillId="0" borderId="11" pivotButton="0" quotePrefix="0" xfId="39"/>
    <xf numFmtId="0" fontId="17" fillId="0" borderId="11" applyAlignment="1" pivotButton="0" quotePrefix="0" xfId="39">
      <alignment horizontal="left"/>
    </xf>
    <xf numFmtId="0" fontId="12" fillId="0" borderId="6" pivotButton="0" quotePrefix="0" xfId="39"/>
    <xf numFmtId="0" fontId="17" fillId="0" borderId="10" applyAlignment="1" pivotButton="0" quotePrefix="0" xfId="39">
      <alignment horizontal="right"/>
    </xf>
    <xf numFmtId="0" fontId="17" fillId="0" borderId="8" applyAlignment="1" pivotButton="0" quotePrefix="0" xfId="39">
      <alignment horizontal="right"/>
    </xf>
    <xf numFmtId="0" fontId="17" fillId="0" borderId="9" applyAlignment="1" pivotButton="0" quotePrefix="0" xfId="39">
      <alignment horizontal="left"/>
    </xf>
    <xf numFmtId="0" fontId="12" fillId="0" borderId="10" pivotButton="0" quotePrefix="0" xfId="39"/>
    <xf numFmtId="0" fontId="12" fillId="0" borderId="8" applyAlignment="1" pivotButton="0" quotePrefix="0" xfId="39">
      <alignment horizontal="right"/>
    </xf>
    <xf numFmtId="0" fontId="16" fillId="0" borderId="9" applyAlignment="1" pivotButton="0" quotePrefix="0" xfId="39">
      <alignment horizontal="right"/>
    </xf>
    <xf numFmtId="165" fontId="12" fillId="0" borderId="0" applyAlignment="1" pivotButton="0" quotePrefix="0" xfId="42">
      <alignment horizontal="center"/>
    </xf>
    <xf numFmtId="0" fontId="16" fillId="0" borderId="0" applyAlignment="1" pivotButton="0" quotePrefix="0" xfId="39">
      <alignment horizontal="right"/>
    </xf>
    <xf numFmtId="164" fontId="12" fillId="0" borderId="0" pivotButton="0" quotePrefix="0" xfId="39"/>
    <xf numFmtId="164" fontId="12" fillId="0" borderId="3" pivotButton="0" quotePrefix="0" xfId="39"/>
    <xf numFmtId="9" fontId="12" fillId="4" borderId="12" pivotButton="0" quotePrefix="0" xfId="39"/>
    <xf numFmtId="9" fontId="12" fillId="0" borderId="0" pivotButton="0" quotePrefix="0" xfId="42"/>
    <xf numFmtId="0" fontId="12" fillId="0" borderId="2" pivotButton="0" quotePrefix="0" xfId="39"/>
    <xf numFmtId="0" fontId="12" fillId="0" borderId="1" applyAlignment="1" pivotButton="0" quotePrefix="0" xfId="39">
      <alignment horizontal="right"/>
    </xf>
    <xf numFmtId="0" fontId="16" fillId="0" borderId="1" applyAlignment="1" pivotButton="0" quotePrefix="0" xfId="39">
      <alignment horizontal="right"/>
    </xf>
    <xf numFmtId="164" fontId="16" fillId="0" borderId="0" applyAlignment="1" pivotButton="0" quotePrefix="0" xfId="40">
      <alignment horizontal="center" vertical="center"/>
    </xf>
    <xf numFmtId="0" fontId="12" fillId="0" borderId="9" applyAlignment="1" pivotButton="0" quotePrefix="0" xfId="39">
      <alignment horizontal="right"/>
    </xf>
    <xf numFmtId="0" fontId="12" fillId="0" borderId="0" applyAlignment="1" pivotButton="0" quotePrefix="0" xfId="39">
      <alignment horizontal="right"/>
    </xf>
    <xf numFmtId="9" fontId="12" fillId="0" borderId="1" pivotButton="0" quotePrefix="0" xfId="39"/>
    <xf numFmtId="10" fontId="12" fillId="0" borderId="0" pivotButton="0" quotePrefix="0" xfId="39"/>
    <xf numFmtId="0" fontId="12" fillId="0" borderId="26" pivotButton="0" quotePrefix="0" xfId="39"/>
    <xf numFmtId="0" fontId="12" fillId="0" borderId="10" applyAlignment="1" pivotButton="0" quotePrefix="0" xfId="39">
      <alignment horizontal="right"/>
    </xf>
    <xf numFmtId="9" fontId="12" fillId="4" borderId="27" pivotButton="0" quotePrefix="0" xfId="39"/>
    <xf numFmtId="3" fontId="12" fillId="0" borderId="0" pivotButton="0" quotePrefix="0" xfId="39"/>
    <xf numFmtId="0" fontId="12" fillId="0" borderId="14" pivotButton="0" quotePrefix="0" xfId="39"/>
    <xf numFmtId="0" fontId="12" fillId="0" borderId="13" pivotButton="0" quotePrefix="0" xfId="39"/>
    <xf numFmtId="0" fontId="17" fillId="0" borderId="13" applyAlignment="1" pivotButton="0" quotePrefix="0" xfId="39">
      <alignment horizontal="right"/>
    </xf>
    <xf numFmtId="9" fontId="12" fillId="0" borderId="14" pivotButton="0" quotePrefix="0" xfId="39"/>
    <xf numFmtId="43" fontId="12" fillId="0" borderId="5" pivotButton="0" quotePrefix="0" xfId="39"/>
    <xf numFmtId="164" fontId="16" fillId="0" borderId="7" pivotButton="0" quotePrefix="0" xfId="39"/>
    <xf numFmtId="0" fontId="12" fillId="0" borderId="17" pivotButton="0" quotePrefix="0" xfId="39"/>
    <xf numFmtId="0" fontId="12" fillId="0" borderId="20" pivotButton="0" quotePrefix="0" xfId="39"/>
    <xf numFmtId="0" fontId="12" fillId="0" borderId="20" applyAlignment="1" pivotButton="0" quotePrefix="0" xfId="39">
      <alignment horizontal="left"/>
    </xf>
    <xf numFmtId="0" fontId="17" fillId="0" borderId="20" applyAlignment="1" pivotButton="0" quotePrefix="0" xfId="39">
      <alignment horizontal="left"/>
    </xf>
    <xf numFmtId="0" fontId="12" fillId="0" borderId="2" applyAlignment="1" pivotButton="0" quotePrefix="0" xfId="39">
      <alignment horizontal="left"/>
    </xf>
    <xf numFmtId="0" fontId="18" fillId="0" borderId="0" pivotButton="0" quotePrefix="0" xfId="39"/>
    <xf numFmtId="164" fontId="18" fillId="4" borderId="12" pivotButton="0" quotePrefix="0" xfId="40"/>
    <xf numFmtId="0" fontId="18" fillId="0" borderId="3" pivotButton="0" quotePrefix="0" xfId="39"/>
    <xf numFmtId="0" fontId="18" fillId="0" borderId="10" pivotButton="0" quotePrefix="0" xfId="39"/>
    <xf numFmtId="0" fontId="18" fillId="0" borderId="8" applyAlignment="1" pivotButton="0" quotePrefix="0" xfId="39">
      <alignment horizontal="right"/>
    </xf>
    <xf numFmtId="0" fontId="18" fillId="0" borderId="4" pivotButton="0" quotePrefix="0" xfId="39"/>
    <xf numFmtId="0" fontId="18" fillId="0" borderId="19" pivotButton="0" quotePrefix="0" xfId="39"/>
    <xf numFmtId="0" fontId="18" fillId="0" borderId="20" applyAlignment="1" pivotButton="0" quotePrefix="0" xfId="39">
      <alignment horizontal="right"/>
    </xf>
    <xf numFmtId="0" fontId="18" fillId="0" borderId="22" pivotButton="0" quotePrefix="0" xfId="39"/>
    <xf numFmtId="0" fontId="18" fillId="0" borderId="23" applyAlignment="1" pivotButton="0" quotePrefix="0" xfId="39">
      <alignment horizontal="right"/>
    </xf>
    <xf numFmtId="0" fontId="18" fillId="0" borderId="25" pivotButton="0" quotePrefix="0" xfId="39"/>
    <xf numFmtId="0" fontId="18" fillId="0" borderId="2" pivotButton="0" quotePrefix="0" xfId="39"/>
    <xf numFmtId="0" fontId="20" fillId="0" borderId="1" applyAlignment="1" pivotButton="0" quotePrefix="0" xfId="39">
      <alignment horizontal="right"/>
    </xf>
    <xf numFmtId="0" fontId="18" fillId="0" borderId="7" pivotButton="0" quotePrefix="0" xfId="39"/>
    <xf numFmtId="164" fontId="18" fillId="4" borderId="1" applyAlignment="1" pivotButton="0" quotePrefix="0" xfId="40">
      <alignment horizontal="center"/>
    </xf>
    <xf numFmtId="9" fontId="20" fillId="4" borderId="16" pivotButton="0" quotePrefix="0" xfId="39"/>
    <xf numFmtId="0" fontId="18" fillId="0" borderId="18" pivotButton="0" quotePrefix="0" xfId="39"/>
    <xf numFmtId="10" fontId="18" fillId="4" borderId="21" pivotButton="0" quotePrefix="0" xfId="39"/>
    <xf numFmtId="0" fontId="18" fillId="0" borderId="21" pivotButton="0" quotePrefix="0" xfId="39"/>
    <xf numFmtId="0" fontId="18" fillId="4" borderId="21" pivotButton="0" quotePrefix="0" xfId="39"/>
    <xf numFmtId="0" fontId="18" fillId="0" borderId="21" applyAlignment="1" pivotButton="0" quotePrefix="0" xfId="39">
      <alignment horizontal="right"/>
    </xf>
    <xf numFmtId="0" fontId="18" fillId="0" borderId="22" applyAlignment="1" pivotButton="0" quotePrefix="0" xfId="39">
      <alignment horizontal="right"/>
    </xf>
    <xf numFmtId="9" fontId="18" fillId="4" borderId="1" pivotButton="0" quotePrefix="0" xfId="39"/>
    <xf numFmtId="0" fontId="18" fillId="0" borderId="1" applyAlignment="1" pivotButton="0" quotePrefix="0" xfId="39">
      <alignment horizontal="right"/>
    </xf>
    <xf numFmtId="9" fontId="18" fillId="4" borderId="16" applyAlignment="1" pivotButton="0" quotePrefix="0" xfId="41">
      <alignment horizontal="center"/>
    </xf>
    <xf numFmtId="164" fontId="21" fillId="5" borderId="16" pivotButton="0" quotePrefix="0" xfId="46"/>
    <xf numFmtId="166" fontId="20" fillId="6" borderId="29" pivotButton="0" quotePrefix="0" xfId="45"/>
    <xf numFmtId="166" fontId="20" fillId="6" borderId="28" pivotButton="0" quotePrefix="0" xfId="45"/>
    <xf numFmtId="164" fontId="20" fillId="6" borderId="16" pivotButton="0" quotePrefix="0" xfId="39"/>
    <xf numFmtId="164" fontId="18" fillId="6" borderId="4" pivotButton="0" quotePrefix="0" xfId="39"/>
    <xf numFmtId="164" fontId="20" fillId="6" borderId="7" applyAlignment="1" pivotButton="0" quotePrefix="0" xfId="39">
      <alignment horizontal="right"/>
    </xf>
    <xf numFmtId="166" fontId="12" fillId="6" borderId="4" pivotButton="0" quotePrefix="0" xfId="45"/>
    <xf numFmtId="3" fontId="18" fillId="6" borderId="8" pivotButton="0" quotePrefix="0" xfId="39"/>
    <xf numFmtId="3" fontId="18" fillId="6" borderId="21" pivotButton="0" quotePrefix="0" xfId="39"/>
    <xf numFmtId="3" fontId="18" fillId="6" borderId="24" pivotButton="0" quotePrefix="0" xfId="39"/>
    <xf numFmtId="3" fontId="20" fillId="6" borderId="1" pivotButton="0" quotePrefix="0" xfId="39"/>
    <xf numFmtId="166" fontId="18" fillId="6" borderId="18" pivotButton="0" quotePrefix="0" xfId="45"/>
    <xf numFmtId="37" fontId="18" fillId="6" borderId="22" pivotButton="0" quotePrefix="0" xfId="39"/>
    <xf numFmtId="166" fontId="18" fillId="6" borderId="7" pivotButton="0" quotePrefix="0" xfId="45"/>
    <xf numFmtId="166" fontId="17" fillId="6" borderId="15" pivotButton="0" quotePrefix="0" xfId="45"/>
    <xf numFmtId="164" fontId="21" fillId="6" borderId="30" pivotButton="0" quotePrefix="0" xfId="46"/>
    <xf numFmtId="9" fontId="18" fillId="4" borderId="31" applyAlignment="1" pivotButton="0" quotePrefix="0" xfId="41">
      <alignment horizontal="center"/>
    </xf>
    <xf numFmtId="9" fontId="18" fillId="0" borderId="32" pivotButton="0" quotePrefix="0" xfId="39"/>
    <xf numFmtId="9" fontId="18" fillId="4" borderId="33" pivotButton="0" quotePrefix="0" xfId="39"/>
    <xf numFmtId="0" fontId="13" fillId="0" borderId="0" pivotButton="0" quotePrefix="0" xfId="39"/>
    <xf numFmtId="39" fontId="17" fillId="6" borderId="16" pivotButton="0" quotePrefix="0" xfId="39"/>
    <xf numFmtId="0" fontId="18" fillId="0" borderId="9" pivotButton="0" quotePrefix="0" xfId="39"/>
    <xf numFmtId="0" fontId="18" fillId="0" borderId="0" applyAlignment="1" pivotButton="0" quotePrefix="0" xfId="39">
      <alignment horizontal="right"/>
    </xf>
    <xf numFmtId="3" fontId="18" fillId="6" borderId="0" pivotButton="0" quotePrefix="0" xfId="39"/>
    <xf numFmtId="9" fontId="18" fillId="4" borderId="34" applyAlignment="1" pivotButton="0" quotePrefix="0" xfId="41">
      <alignment horizontal="center"/>
    </xf>
    <xf numFmtId="0" fontId="22" fillId="7" borderId="11" pivotButton="0" quotePrefix="0" xfId="39"/>
    <xf numFmtId="0" fontId="8" fillId="7" borderId="15" pivotButton="0" quotePrefix="0" xfId="39"/>
    <xf numFmtId="0" fontId="8" fillId="0" borderId="35" pivotButton="0" quotePrefix="0" xfId="39"/>
    <xf numFmtId="3" fontId="8" fillId="0" borderId="3" pivotButton="0" quotePrefix="0" xfId="39"/>
    <xf numFmtId="0" fontId="8" fillId="8" borderId="36" pivotButton="0" quotePrefix="0" xfId="39"/>
    <xf numFmtId="0" fontId="8" fillId="0" borderId="36" pivotButton="0" quotePrefix="0" xfId="39"/>
    <xf numFmtId="0" fontId="8" fillId="8" borderId="3" pivotButton="0" quotePrefix="0" xfId="39"/>
    <xf numFmtId="0" fontId="22" fillId="7" borderId="36" pivotButton="0" quotePrefix="0" xfId="39"/>
    <xf numFmtId="0" fontId="23" fillId="7" borderId="3" pivotButton="0" quotePrefix="0" xfId="39"/>
    <xf numFmtId="0" fontId="24" fillId="8" borderId="36" pivotButton="0" quotePrefix="0" xfId="39"/>
    <xf numFmtId="3" fontId="24" fillId="0" borderId="3" pivotButton="0" quotePrefix="0" xfId="39"/>
    <xf numFmtId="3" fontId="8" fillId="8" borderId="3" pivotButton="0" quotePrefix="0" xfId="39"/>
    <xf numFmtId="10" fontId="8" fillId="8" borderId="3" pivotButton="0" quotePrefix="0" xfId="39"/>
    <xf numFmtId="0" fontId="8" fillId="8" borderId="9" pivotButton="0" quotePrefix="0" xfId="39"/>
    <xf numFmtId="10" fontId="8" fillId="8" borderId="37" applyAlignment="1" pivotButton="0" quotePrefix="0" xfId="39">
      <alignment horizontal="right"/>
    </xf>
    <xf numFmtId="0" fontId="8" fillId="0" borderId="38" pivotButton="0" quotePrefix="0" xfId="39"/>
    <xf numFmtId="39" fontId="8" fillId="0" borderId="7" pivotButton="0" quotePrefix="0" xfId="39"/>
    <xf numFmtId="0" fontId="25" fillId="0" borderId="0" pivotButton="0" quotePrefix="0" xfId="47"/>
    <xf numFmtId="0" fontId="25" fillId="0" borderId="39" pivotButton="0" quotePrefix="0" xfId="47"/>
    <xf numFmtId="0" fontId="25" fillId="0" borderId="8" pivotButton="0" quotePrefix="0" xfId="47"/>
    <xf numFmtId="0" fontId="19" fillId="0" borderId="41" pivotButton="0" quotePrefix="0" xfId="47"/>
    <xf numFmtId="0" fontId="25" fillId="0" borderId="42" pivotButton="0" quotePrefix="0" xfId="47"/>
    <xf numFmtId="0" fontId="19" fillId="0" borderId="44" pivotButton="0" quotePrefix="0" xfId="47"/>
    <xf numFmtId="0" fontId="19" fillId="0" borderId="42" pivotButton="0" quotePrefix="0" xfId="47"/>
    <xf numFmtId="0" fontId="25" fillId="0" borderId="44" pivotButton="0" quotePrefix="0" xfId="47"/>
    <xf numFmtId="0" fontId="19" fillId="0" borderId="39" applyAlignment="1" pivotButton="0" quotePrefix="0" xfId="47">
      <alignment horizontal="center"/>
    </xf>
    <xf numFmtId="10" fontId="19" fillId="0" borderId="40" applyAlignment="1" pivotButton="0" quotePrefix="0" xfId="47">
      <alignment horizontal="center"/>
    </xf>
    <xf numFmtId="0" fontId="25" fillId="0" borderId="41" pivotButton="0" quotePrefix="0" xfId="47"/>
    <xf numFmtId="0" fontId="25" fillId="0" borderId="45" pivotButton="0" quotePrefix="0" xfId="47"/>
    <xf numFmtId="0" fontId="25" fillId="0" borderId="46" pivotButton="0" quotePrefix="0" xfId="47"/>
    <xf numFmtId="0" fontId="26" fillId="0" borderId="47" pivotButton="0" quotePrefix="0" xfId="47"/>
    <xf numFmtId="167" fontId="25" fillId="0" borderId="39" pivotButton="0" quotePrefix="0" xfId="47"/>
    <xf numFmtId="0" fontId="19" fillId="0" borderId="8" pivotButton="0" quotePrefix="0" xfId="47"/>
    <xf numFmtId="0" fontId="19" fillId="0" borderId="0" pivotButton="0" quotePrefix="0" xfId="47"/>
    <xf numFmtId="167" fontId="25" fillId="0" borderId="42" pivotButton="0" quotePrefix="0" xfId="47"/>
    <xf numFmtId="0" fontId="19" fillId="0" borderId="40" pivotButton="0" quotePrefix="0" xfId="47"/>
    <xf numFmtId="9" fontId="25" fillId="0" borderId="42" pivotButton="0" quotePrefix="0" xfId="47"/>
    <xf numFmtId="9" fontId="25" fillId="9" borderId="43" pivotButton="0" quotePrefix="0" xfId="47"/>
    <xf numFmtId="9" fontId="25" fillId="0" borderId="49" pivotButton="0" quotePrefix="0" xfId="47"/>
    <xf numFmtId="0" fontId="25" fillId="0" borderId="50" pivotButton="0" quotePrefix="0" xfId="47"/>
    <xf numFmtId="0" fontId="25" fillId="0" borderId="51" pivotButton="0" quotePrefix="0" xfId="47"/>
    <xf numFmtId="0" fontId="19" fillId="0" borderId="39" pivotButton="0" quotePrefix="0" xfId="47"/>
    <xf numFmtId="168" fontId="25" fillId="0" borderId="8" pivotButton="0" quotePrefix="0" xfId="47"/>
    <xf numFmtId="166" fontId="25" fillId="0" borderId="39" pivotButton="0" quotePrefix="0" xfId="47"/>
    <xf numFmtId="166" fontId="25" fillId="0" borderId="8" pivotButton="0" quotePrefix="0" xfId="47"/>
    <xf numFmtId="0" fontId="25" fillId="0" borderId="41" applyAlignment="1" pivotButton="0" quotePrefix="0" xfId="47">
      <alignment horizontal="center"/>
    </xf>
    <xf numFmtId="166" fontId="25" fillId="0" borderId="42" pivotButton="0" quotePrefix="0" xfId="47"/>
    <xf numFmtId="166" fontId="25" fillId="0" borderId="0" pivotButton="0" quotePrefix="0" xfId="47"/>
    <xf numFmtId="0" fontId="25" fillId="0" borderId="44" applyAlignment="1" pivotButton="0" quotePrefix="0" xfId="47">
      <alignment horizontal="center"/>
    </xf>
    <xf numFmtId="166" fontId="25" fillId="0" borderId="49" pivotButton="0" quotePrefix="0" xfId="47"/>
    <xf numFmtId="0" fontId="25" fillId="0" borderId="51" applyAlignment="1" pivotButton="0" quotePrefix="0" xfId="47">
      <alignment horizontal="center"/>
    </xf>
    <xf numFmtId="0" fontId="25" fillId="0" borderId="49" pivotButton="0" quotePrefix="0" xfId="47"/>
    <xf numFmtId="0" fontId="19" fillId="0" borderId="51" pivotButton="0" quotePrefix="0" xfId="47"/>
    <xf numFmtId="0" fontId="19" fillId="0" borderId="45" applyAlignment="1" pivotButton="0" quotePrefix="0" xfId="47">
      <alignment horizontal="center"/>
    </xf>
    <xf numFmtId="0" fontId="19" fillId="0" borderId="46" applyAlignment="1" pivotButton="0" quotePrefix="0" xfId="47">
      <alignment horizontal="center"/>
    </xf>
    <xf numFmtId="0" fontId="19" fillId="0" borderId="47" applyAlignment="1" pivotButton="0" quotePrefix="0" xfId="47">
      <alignment horizontal="center"/>
    </xf>
    <xf numFmtId="0" fontId="19" fillId="0" borderId="48" pivotButton="0" quotePrefix="0" xfId="47"/>
    <xf numFmtId="0" fontId="19" fillId="0" borderId="43" pivotButton="0" quotePrefix="0" xfId="47"/>
    <xf numFmtId="0" fontId="19" fillId="0" borderId="16" applyAlignment="1" pivotButton="0" quotePrefix="0" xfId="47">
      <alignment horizontal="center"/>
    </xf>
    <xf numFmtId="0" fontId="26" fillId="0" borderId="16" pivotButton="0" quotePrefix="0" xfId="47"/>
    <xf numFmtId="166" fontId="0" fillId="0" borderId="8" pivotButton="0" quotePrefix="0" xfId="49"/>
    <xf numFmtId="169" fontId="25" fillId="9" borderId="16" applyAlignment="1" pivotButton="0" quotePrefix="0" xfId="47">
      <alignment horizontal="center"/>
    </xf>
    <xf numFmtId="166" fontId="0" fillId="0" borderId="42" pivotButton="0" quotePrefix="0" xfId="49"/>
    <xf numFmtId="166" fontId="0" fillId="0" borderId="0" pivotButton="0" quotePrefix="0" xfId="49"/>
    <xf numFmtId="170" fontId="25" fillId="0" borderId="0" pivotButton="0" quotePrefix="0" xfId="47"/>
    <xf numFmtId="0" fontId="19" fillId="0" borderId="0" applyAlignment="1" pivotButton="0" quotePrefix="0" xfId="47">
      <alignment horizontal="center"/>
    </xf>
    <xf numFmtId="164" fontId="25" fillId="0" borderId="0" pivotButton="0" quotePrefix="0" xfId="47"/>
    <xf numFmtId="164" fontId="25" fillId="0" borderId="44" pivotButton="0" quotePrefix="0" xfId="47"/>
    <xf numFmtId="167" fontId="12" fillId="0" borderId="0" pivotButton="0" quotePrefix="0" xfId="39"/>
    <xf numFmtId="166" fontId="0" fillId="0" borderId="49" pivotButton="0" quotePrefix="0" xfId="49"/>
    <xf numFmtId="166" fontId="0" fillId="0" borderId="50" pivotButton="0" quotePrefix="0" xfId="49"/>
    <xf numFmtId="0" fontId="19" fillId="0" borderId="50" applyAlignment="1" pivotButton="0" quotePrefix="0" xfId="47">
      <alignment horizontal="center"/>
    </xf>
    <xf numFmtId="170" fontId="25" fillId="0" borderId="50" pivotButton="0" quotePrefix="0" xfId="47"/>
    <xf numFmtId="164" fontId="25" fillId="0" borderId="51" pivotButton="0" quotePrefix="0" xfId="47"/>
    <xf numFmtId="0" fontId="25" fillId="0" borderId="40" applyAlignment="1" pivotButton="0" quotePrefix="0" xfId="47">
      <alignment horizontal="center"/>
    </xf>
    <xf numFmtId="0" fontId="19" fillId="0" borderId="40" applyAlignment="1" pivotButton="0" quotePrefix="0" xfId="47">
      <alignment horizontal="center"/>
    </xf>
    <xf numFmtId="0" fontId="26" fillId="0" borderId="40" pivotButton="0" quotePrefix="0" xfId="47"/>
    <xf numFmtId="0" fontId="25" fillId="0" borderId="43" pivotButton="0" quotePrefix="0" xfId="47"/>
    <xf numFmtId="0" fontId="25" fillId="0" borderId="43" applyAlignment="1" pivotButton="0" quotePrefix="0" xfId="47">
      <alignment horizontal="center"/>
    </xf>
    <xf numFmtId="0" fontId="19" fillId="0" borderId="43" applyAlignment="1" pivotButton="0" quotePrefix="0" xfId="47">
      <alignment horizontal="center"/>
    </xf>
    <xf numFmtId="0" fontId="26" fillId="0" borderId="0" pivotButton="0" quotePrefix="0" xfId="47"/>
    <xf numFmtId="167" fontId="25" fillId="0" borderId="0" pivotButton="0" quotePrefix="0" xfId="47"/>
    <xf numFmtId="164" fontId="25" fillId="10" borderId="43" pivotButton="0" quotePrefix="0" xfId="47"/>
    <xf numFmtId="0" fontId="19" fillId="11" borderId="40" applyAlignment="1" pivotButton="0" quotePrefix="0" xfId="47">
      <alignment horizontal="center"/>
    </xf>
    <xf numFmtId="0" fontId="19" fillId="12" borderId="40" applyAlignment="1" pivotButton="0" quotePrefix="0" xfId="47">
      <alignment horizontal="center"/>
    </xf>
    <xf numFmtId="0" fontId="19" fillId="13" borderId="40" applyAlignment="1" pivotButton="0" quotePrefix="0" xfId="47">
      <alignment horizontal="center"/>
    </xf>
    <xf numFmtId="0" fontId="19" fillId="14" borderId="40" applyAlignment="1" pivotButton="0" quotePrefix="0" xfId="47">
      <alignment horizontal="center"/>
    </xf>
    <xf numFmtId="0" fontId="25" fillId="12" borderId="43" applyAlignment="1" pivotButton="0" quotePrefix="0" xfId="47">
      <alignment horizontal="center"/>
    </xf>
    <xf numFmtId="0" fontId="25" fillId="13" borderId="43" applyAlignment="1" pivotButton="0" quotePrefix="0" xfId="47">
      <alignment horizontal="center"/>
    </xf>
    <xf numFmtId="0" fontId="19" fillId="14" borderId="43" applyAlignment="1" pivotButton="0" quotePrefix="0" xfId="47">
      <alignment horizontal="center"/>
    </xf>
    <xf numFmtId="3" fontId="19" fillId="0" borderId="0" pivotButton="0" quotePrefix="0" xfId="47"/>
    <xf numFmtId="165" fontId="0" fillId="0" borderId="16" pivotButton="0" quotePrefix="0" xfId="42"/>
    <xf numFmtId="0" fontId="19" fillId="11" borderId="0" pivotButton="0" quotePrefix="0" xfId="47"/>
    <xf numFmtId="0" fontId="25" fillId="10" borderId="16" pivotButton="0" quotePrefix="0" xfId="47"/>
    <xf numFmtId="0" fontId="19" fillId="12" borderId="0" pivotButton="0" quotePrefix="0" xfId="47"/>
    <xf numFmtId="165" fontId="0" fillId="12" borderId="16" pivotButton="0" quotePrefix="0" xfId="42"/>
    <xf numFmtId="0" fontId="19" fillId="14" borderId="0" pivotButton="0" quotePrefix="0" xfId="47"/>
    <xf numFmtId="165" fontId="0" fillId="11" borderId="16" pivotButton="0" quotePrefix="0" xfId="42"/>
    <xf numFmtId="170" fontId="25" fillId="9" borderId="43" pivotButton="0" quotePrefix="0" xfId="47"/>
    <xf numFmtId="0" fontId="25" fillId="13" borderId="16" pivotButton="0" quotePrefix="0" xfId="47"/>
    <xf numFmtId="0" fontId="25" fillId="0" borderId="40" pivotButton="0" quotePrefix="0" xfId="47"/>
    <xf numFmtId="0" fontId="26" fillId="0" borderId="41" pivotButton="0" quotePrefix="0" xfId="47"/>
    <xf numFmtId="0" fontId="25" fillId="14" borderId="16" pivotButton="0" quotePrefix="0" xfId="47"/>
    <xf numFmtId="0" fontId="25" fillId="0" borderId="1" pivotButton="0" quotePrefix="0" xfId="47"/>
    <xf numFmtId="0" fontId="19" fillId="0" borderId="1" pivotButton="0" quotePrefix="0" xfId="47"/>
    <xf numFmtId="0" fontId="20" fillId="0" borderId="1" pivotButton="0" quotePrefix="0" xfId="47"/>
    <xf numFmtId="14" fontId="20" fillId="0" borderId="0" applyAlignment="1" pivotButton="0" quotePrefix="0" xfId="47">
      <alignment horizontal="right"/>
    </xf>
    <xf numFmtId="0" fontId="20" fillId="0" borderId="0" pivotButton="0" quotePrefix="0" xfId="47"/>
    <xf numFmtId="164" fontId="14" fillId="0" borderId="0" pivotButton="0" quotePrefix="0" xfId="40"/>
    <xf numFmtId="0" fontId="16" fillId="0" borderId="0" pivotButton="0" quotePrefix="0" xfId="39"/>
    <xf numFmtId="0" fontId="8" fillId="0" borderId="0" pivotButton="0" quotePrefix="0" xfId="39"/>
    <xf numFmtId="167" fontId="12" fillId="0" borderId="5" pivotButton="0" quotePrefix="0" xfId="39"/>
    <xf numFmtId="166" fontId="20" fillId="6" borderId="52" pivotButton="0" quotePrefix="0" xfId="45"/>
    <xf numFmtId="0" fontId="16" fillId="0" borderId="10" applyAlignment="1" pivotButton="0" quotePrefix="0" xfId="39">
      <alignment horizontal="left"/>
    </xf>
    <xf numFmtId="166" fontId="25" fillId="0" borderId="16" pivotButton="0" quotePrefix="0" xfId="47"/>
    <xf numFmtId="171" fontId="0" fillId="0" borderId="16" pivotButton="0" quotePrefix="0" xfId="49"/>
    <xf numFmtId="0" fontId="30" fillId="0" borderId="0" pivotButton="0" quotePrefix="0" xfId="50"/>
    <xf numFmtId="0" fontId="7" fillId="0" borderId="0" pivotButton="0" quotePrefix="0" xfId="50"/>
    <xf numFmtId="0" fontId="29" fillId="0" borderId="0" pivotButton="0" quotePrefix="0" xfId="50"/>
    <xf numFmtId="0" fontId="31" fillId="0" borderId="0" pivotButton="0" quotePrefix="0" xfId="50"/>
    <xf numFmtId="3" fontId="7" fillId="0" borderId="0" pivotButton="0" quotePrefix="0" xfId="50"/>
    <xf numFmtId="0" fontId="8" fillId="0" borderId="0" applyAlignment="1" pivotButton="0" quotePrefix="0" xfId="50">
      <alignment horizontal="right"/>
    </xf>
    <xf numFmtId="172" fontId="32" fillId="0" borderId="0" pivotButton="0" quotePrefix="0" xfId="50"/>
    <xf numFmtId="3" fontId="29" fillId="0" borderId="5" pivotButton="0" quotePrefix="0" xfId="50"/>
    <xf numFmtId="172" fontId="29" fillId="0" borderId="0" pivotButton="0" quotePrefix="0" xfId="50"/>
    <xf numFmtId="0" fontId="8" fillId="0" borderId="0" pivotButton="0" quotePrefix="0" xfId="50"/>
    <xf numFmtId="0" fontId="29" fillId="0" borderId="0" applyAlignment="1" pivotButton="0" quotePrefix="0" xfId="50">
      <alignment vertical="center"/>
    </xf>
    <xf numFmtId="0" fontId="33" fillId="0" borderId="0" pivotButton="0" quotePrefix="0" xfId="50"/>
    <xf numFmtId="0" fontId="34" fillId="0" borderId="0" pivotButton="0" quotePrefix="0" xfId="50"/>
    <xf numFmtId="3" fontId="31" fillId="0" borderId="0" pivotButton="0" quotePrefix="0" xfId="50"/>
    <xf numFmtId="3" fontId="31" fillId="0" borderId="12" pivotButton="0" quotePrefix="0" xfId="50"/>
    <xf numFmtId="9" fontId="7" fillId="0" borderId="0" pivotButton="0" quotePrefix="0" xfId="50"/>
    <xf numFmtId="3" fontId="7" fillId="0" borderId="0" applyAlignment="1" pivotButton="0" quotePrefix="0" xfId="50">
      <alignment horizontal="right"/>
    </xf>
    <xf numFmtId="167" fontId="7" fillId="0" borderId="0" pivotButton="0" quotePrefix="0" xfId="50"/>
    <xf numFmtId="0" fontId="35" fillId="0" borderId="0" pivotButton="0" quotePrefix="0" xfId="50"/>
    <xf numFmtId="3" fontId="35" fillId="0" borderId="0" pivotButton="0" quotePrefix="0" xfId="50"/>
    <xf numFmtId="3" fontId="30" fillId="0" borderId="53" pivotButton="0" quotePrefix="0" xfId="50"/>
    <xf numFmtId="3" fontId="30" fillId="0" borderId="0" pivotButton="0" quotePrefix="0" xfId="50"/>
    <xf numFmtId="0" fontId="30" fillId="0" borderId="0" applyAlignment="1" pivotButton="0" quotePrefix="0" xfId="50">
      <alignment wrapText="1"/>
    </xf>
    <xf numFmtId="3" fontId="29" fillId="0" borderId="0" pivotButton="0" quotePrefix="0" xfId="50"/>
    <xf numFmtId="0" fontId="31" fillId="0" borderId="0" pivotButton="0" quotePrefix="0" xfId="0"/>
    <xf numFmtId="0" fontId="0" fillId="0" borderId="0" applyAlignment="1" pivotButton="0" quotePrefix="0" xfId="0">
      <alignment horizontal="center"/>
    </xf>
    <xf numFmtId="3" fontId="0" fillId="0" borderId="5" pivotButton="0" quotePrefix="0" xfId="0"/>
    <xf numFmtId="38" fontId="7" fillId="0" borderId="0" pivotButton="0" quotePrefix="0" xfId="50"/>
    <xf numFmtId="0" fontId="30" fillId="0" borderId="14" pivotButton="0" quotePrefix="0" xfId="50"/>
    <xf numFmtId="0" fontId="30" fillId="0" borderId="13" pivotButton="0" quotePrefix="0" xfId="50"/>
    <xf numFmtId="0" fontId="30" fillId="0" borderId="15" applyAlignment="1" pivotButton="0" quotePrefix="0" xfId="50">
      <alignment wrapText="1"/>
    </xf>
    <xf numFmtId="167" fontId="29" fillId="0" borderId="0" pivotButton="0" quotePrefix="0" xfId="50"/>
    <xf numFmtId="0" fontId="36" fillId="0" borderId="0" pivotButton="0" quotePrefix="0" xfId="39"/>
    <xf numFmtId="3" fontId="31" fillId="0" borderId="5" pivotButton="0" quotePrefix="0" xfId="50"/>
    <xf numFmtId="172" fontId="30" fillId="0" borderId="12" pivotButton="0" quotePrefix="0" xfId="50"/>
    <xf numFmtId="172" fontId="7" fillId="0" borderId="0" pivotButton="0" quotePrefix="0" xfId="50"/>
    <xf numFmtId="170" fontId="0" fillId="0" borderId="0" pivotButton="0" quotePrefix="0" xfId="0"/>
    <xf numFmtId="10" fontId="0" fillId="0" borderId="0" pivotButton="0" quotePrefix="0" xfId="0"/>
    <xf numFmtId="167" fontId="0" fillId="0" borderId="0" pivotButton="0" quotePrefix="0" xfId="0"/>
    <xf numFmtId="0" fontId="16" fillId="0" borderId="0" applyAlignment="1" pivotButton="0" quotePrefix="0" xfId="0">
      <alignment horizontal="right"/>
    </xf>
    <xf numFmtId="3" fontId="0" fillId="0" borderId="0" pivotButton="0" quotePrefix="0" xfId="0"/>
    <xf numFmtId="0" fontId="6" fillId="0" borderId="0" pivotButton="0" quotePrefix="0" xfId="50"/>
    <xf numFmtId="170" fontId="6" fillId="0" borderId="0" pivotButton="0" quotePrefix="0" xfId="50"/>
    <xf numFmtId="0" fontId="31" fillId="0" borderId="0" applyAlignment="1" pivotButton="0" quotePrefix="0" xfId="50">
      <alignment horizontal="center"/>
    </xf>
    <xf numFmtId="0" fontId="29" fillId="0" borderId="0" applyAlignment="1" pivotButton="0" quotePrefix="0" xfId="50">
      <alignment horizontal="center"/>
    </xf>
    <xf numFmtId="167" fontId="7" fillId="0" borderId="5" pivotButton="0" quotePrefix="0" xfId="50"/>
    <xf numFmtId="0" fontId="37" fillId="0" borderId="0" pivotButton="0" quotePrefix="0" xfId="50"/>
    <xf numFmtId="172" fontId="6" fillId="0" borderId="5" pivotButton="0" quotePrefix="0" xfId="50"/>
    <xf numFmtId="3" fontId="6" fillId="0" borderId="0" pivotButton="0" quotePrefix="0" xfId="50"/>
    <xf numFmtId="0" fontId="5" fillId="0" borderId="0" pivotButton="0" quotePrefix="0" xfId="50"/>
    <xf numFmtId="3" fontId="31" fillId="0" borderId="0" pivotButton="0" quotePrefix="0" xfId="0"/>
    <xf numFmtId="3" fontId="4" fillId="0" borderId="0" applyAlignment="1" pivotButton="0" quotePrefix="0" xfId="50">
      <alignment horizontal="center"/>
    </xf>
    <xf numFmtId="0" fontId="7" fillId="0" borderId="0" applyAlignment="1" pivotButton="0" quotePrefix="0" xfId="50">
      <alignment horizontal="center"/>
    </xf>
    <xf numFmtId="3" fontId="7" fillId="0" borderId="0" applyAlignment="1" pivotButton="0" quotePrefix="0" xfId="50">
      <alignment horizontal="center"/>
    </xf>
    <xf numFmtId="3" fontId="8" fillId="0" borderId="0" pivotButton="0" quotePrefix="0" xfId="50"/>
    <xf numFmtId="4" fontId="8" fillId="0" borderId="0" pivotButton="0" quotePrefix="0" xfId="50"/>
    <xf numFmtId="3" fontId="8" fillId="0" borderId="5" pivotButton="0" quotePrefix="0" xfId="50"/>
    <xf numFmtId="0" fontId="38" fillId="0" borderId="0" pivotButton="0" quotePrefix="0" xfId="51"/>
    <xf numFmtId="10" fontId="38" fillId="0" borderId="0" pivotButton="0" quotePrefix="0" xfId="51"/>
    <xf numFmtId="43" fontId="0" fillId="0" borderId="0" pivotButton="0" quotePrefix="0" xfId="48"/>
    <xf numFmtId="166" fontId="38" fillId="0" borderId="54" pivotButton="0" quotePrefix="0" xfId="51"/>
    <xf numFmtId="166" fontId="38" fillId="0" borderId="8" pivotButton="0" quotePrefix="0" xfId="51"/>
    <xf numFmtId="166" fontId="38" fillId="0" borderId="0" pivotButton="0" quotePrefix="0" xfId="51"/>
    <xf numFmtId="0" fontId="19" fillId="0" borderId="0" pivotButton="0" quotePrefix="0" xfId="51"/>
    <xf numFmtId="0" fontId="26" fillId="0" borderId="0" pivotButton="0" quotePrefix="0" xfId="51"/>
    <xf numFmtId="10" fontId="0" fillId="0" borderId="0" pivotButton="0" quotePrefix="0" xfId="42"/>
    <xf numFmtId="167" fontId="38" fillId="0" borderId="0" pivotButton="0" quotePrefix="0" xfId="51"/>
    <xf numFmtId="0" fontId="38" fillId="0" borderId="8" applyAlignment="1" pivotButton="0" quotePrefix="0" xfId="51">
      <alignment horizontal="center"/>
    </xf>
    <xf numFmtId="0" fontId="38" fillId="0" borderId="1" pivotButton="0" quotePrefix="0" xfId="51"/>
    <xf numFmtId="0" fontId="19" fillId="0" borderId="1" pivotButton="0" quotePrefix="0" xfId="51"/>
    <xf numFmtId="0" fontId="20" fillId="0" borderId="1" pivotButton="0" quotePrefix="0" xfId="51"/>
    <xf numFmtId="0" fontId="20" fillId="0" borderId="0" pivotButton="0" quotePrefix="0" xfId="51"/>
    <xf numFmtId="164" fontId="18" fillId="6" borderId="12" pivotButton="0" quotePrefix="0" xfId="39"/>
    <xf numFmtId="173" fontId="38" fillId="0" borderId="0" pivotButton="0" quotePrefix="0" xfId="51"/>
    <xf numFmtId="165" fontId="0" fillId="0" borderId="0" pivotButton="0" quotePrefix="0" xfId="42"/>
    <xf numFmtId="166" fontId="0" fillId="0" borderId="55" pivotButton="0" quotePrefix="0" xfId="49"/>
    <xf numFmtId="166" fontId="0" fillId="9" borderId="8" pivotButton="0" quotePrefix="0" xfId="49"/>
    <xf numFmtId="9" fontId="38" fillId="0" borderId="0" pivotButton="0" quotePrefix="0" xfId="51"/>
    <xf numFmtId="0" fontId="19" fillId="0" borderId="8" applyAlignment="1" pivotButton="0" quotePrefix="0" xfId="51">
      <alignment horizontal="center"/>
    </xf>
    <xf numFmtId="2" fontId="38" fillId="0" borderId="0" pivotButton="0" quotePrefix="0" xfId="51"/>
    <xf numFmtId="2" fontId="19" fillId="0" borderId="0" applyAlignment="1" pivotButton="0" quotePrefix="0" xfId="51">
      <alignment horizontal="center"/>
    </xf>
    <xf numFmtId="0" fontId="19" fillId="0" borderId="0" pivotButton="0" quotePrefix="0" xfId="52"/>
    <xf numFmtId="10" fontId="19" fillId="0" borderId="0" pivotButton="0" quotePrefix="0" xfId="52"/>
    <xf numFmtId="166" fontId="19" fillId="0" borderId="54" pivotButton="0" quotePrefix="0" xfId="52"/>
    <xf numFmtId="166" fontId="19" fillId="0" borderId="8" pivotButton="0" quotePrefix="0" xfId="52"/>
    <xf numFmtId="166" fontId="19" fillId="0" borderId="0" pivotButton="0" quotePrefix="0" xfId="52"/>
    <xf numFmtId="0" fontId="26" fillId="0" borderId="0" pivotButton="0" quotePrefix="0" xfId="52"/>
    <xf numFmtId="9" fontId="19" fillId="0" borderId="8" pivotButton="0" quotePrefix="0" xfId="52"/>
    <xf numFmtId="10" fontId="19" fillId="0" borderId="8" pivotButton="0" quotePrefix="0" xfId="52"/>
    <xf numFmtId="0" fontId="19" fillId="0" borderId="1" pivotButton="0" quotePrefix="0" xfId="52"/>
    <xf numFmtId="0" fontId="20" fillId="0" borderId="1" pivotButton="0" quotePrefix="0" xfId="52"/>
    <xf numFmtId="0" fontId="20" fillId="0" borderId="0" pivotButton="0" quotePrefix="0" xfId="52"/>
    <xf numFmtId="0" fontId="19" fillId="0" borderId="11" pivotButton="0" quotePrefix="0" xfId="51"/>
    <xf numFmtId="174" fontId="38" fillId="0" borderId="6" pivotButton="0" quotePrefix="0" xfId="51"/>
    <xf numFmtId="0" fontId="38" fillId="0" borderId="2" pivotButton="0" quotePrefix="0" xfId="51"/>
    <xf numFmtId="10" fontId="38" fillId="0" borderId="7" pivotButton="0" quotePrefix="0" xfId="51"/>
    <xf numFmtId="0" fontId="38" fillId="0" borderId="11" pivotButton="0" quotePrefix="0" xfId="51"/>
    <xf numFmtId="0" fontId="38" fillId="0" borderId="14" pivotButton="0" quotePrefix="0" xfId="51"/>
    <xf numFmtId="10" fontId="38" fillId="0" borderId="15" pivotButton="0" quotePrefix="0" xfId="51"/>
    <xf numFmtId="0" fontId="16" fillId="0" borderId="56" applyAlignment="1" pivotButton="0" quotePrefix="0" xfId="39">
      <alignment horizontal="left"/>
    </xf>
    <xf numFmtId="164" fontId="18" fillId="6" borderId="57" pivotButton="0" quotePrefix="0" xfId="39"/>
    <xf numFmtId="164" fontId="18" fillId="6" borderId="57" applyAlignment="1" pivotButton="0" quotePrefix="0" xfId="39">
      <alignment horizontal="right"/>
    </xf>
    <xf numFmtId="164" fontId="18" fillId="6" borderId="59" applyAlignment="1" pivotButton="0" quotePrefix="0" xfId="39">
      <alignment horizontal="right"/>
    </xf>
    <xf numFmtId="166" fontId="20" fillId="6" borderId="3" pivotButton="0" quotePrefix="0" xfId="45"/>
    <xf numFmtId="0" fontId="3" fillId="0" borderId="0" pivotButton="0" quotePrefix="0" xfId="50"/>
    <xf numFmtId="9" fontId="18" fillId="4" borderId="32" pivotButton="0" quotePrefix="0" xfId="39"/>
    <xf numFmtId="175" fontId="19" fillId="11" borderId="40" applyAlignment="1" pivotButton="0" quotePrefix="0" xfId="47">
      <alignment horizontal="center"/>
    </xf>
    <xf numFmtId="167" fontId="19" fillId="16" borderId="0" applyAlignment="1" pivotButton="0" quotePrefix="0" xfId="47">
      <alignment horizontal="center"/>
    </xf>
    <xf numFmtId="167" fontId="25" fillId="16" borderId="0" applyAlignment="1" pivotButton="0" quotePrefix="0" xfId="47">
      <alignment horizontal="center"/>
    </xf>
    <xf numFmtId="167" fontId="25" fillId="16" borderId="43" pivotButton="0" quotePrefix="0" xfId="47"/>
    <xf numFmtId="167" fontId="25" fillId="16" borderId="48" pivotButton="0" quotePrefix="0" xfId="47"/>
    <xf numFmtId="170" fontId="25" fillId="16" borderId="43" pivotButton="0" quotePrefix="0" xfId="47"/>
    <xf numFmtId="170" fontId="25" fillId="16" borderId="48" pivotButton="0" quotePrefix="0" xfId="47"/>
    <xf numFmtId="170" fontId="25" fillId="6" borderId="48" pivotButton="0" quotePrefix="0" xfId="47"/>
    <xf numFmtId="3" fontId="0" fillId="6" borderId="16" pivotButton="0" quotePrefix="0" xfId="49"/>
    <xf numFmtId="166" fontId="19" fillId="6" borderId="0" pivotButton="0" quotePrefix="0" xfId="49"/>
    <xf numFmtId="167" fontId="25" fillId="6" borderId="16" pivotButton="0" quotePrefix="0" xfId="47"/>
    <xf numFmtId="164" fontId="0" fillId="16" borderId="51" pivotButton="0" quotePrefix="0" xfId="48"/>
    <xf numFmtId="164" fontId="0" fillId="16" borderId="50" pivotButton="0" quotePrefix="0" xfId="48"/>
    <xf numFmtId="164" fontId="0" fillId="16" borderId="44" pivotButton="0" quotePrefix="0" xfId="48"/>
    <xf numFmtId="164" fontId="0" fillId="16" borderId="0" pivotButton="0" quotePrefix="0" xfId="48"/>
    <xf numFmtId="164" fontId="0" fillId="16" borderId="41" pivotButton="0" quotePrefix="0" xfId="48"/>
    <xf numFmtId="164" fontId="0" fillId="16" borderId="8" pivotButton="0" quotePrefix="0" xfId="48"/>
    <xf numFmtId="9" fontId="25" fillId="16" borderId="0" pivotButton="0" quotePrefix="0" xfId="47"/>
    <xf numFmtId="164" fontId="25" fillId="16" borderId="44" pivotButton="0" quotePrefix="0" xfId="47"/>
    <xf numFmtId="10" fontId="25" fillId="16" borderId="48" pivotButton="0" quotePrefix="0" xfId="47"/>
    <xf numFmtId="0" fontId="25" fillId="16" borderId="48" pivotButton="0" quotePrefix="0" xfId="47"/>
    <xf numFmtId="0" fontId="25" fillId="16" borderId="40" pivotButton="0" quotePrefix="0" xfId="47"/>
    <xf numFmtId="2" fontId="25" fillId="16" borderId="16" pivotButton="0" quotePrefix="0" xfId="47"/>
    <xf numFmtId="9" fontId="25" fillId="16" borderId="43" pivotButton="0" quotePrefix="0" xfId="47"/>
    <xf numFmtId="9" fontId="25" fillId="16" borderId="48" pivotButton="0" quotePrefix="0" xfId="47"/>
    <xf numFmtId="9" fontId="25" fillId="16" borderId="40" pivotButton="0" quotePrefix="0" xfId="47"/>
    <xf numFmtId="0" fontId="25" fillId="16" borderId="16" pivotButton="0" quotePrefix="0" xfId="47"/>
    <xf numFmtId="10" fontId="25" fillId="16" borderId="44" pivotButton="0" quotePrefix="0" xfId="47"/>
    <xf numFmtId="10" fontId="25" fillId="16" borderId="41" pivotButton="0" quotePrefix="0" xfId="47"/>
    <xf numFmtId="10" fontId="25" fillId="16" borderId="39" pivotButton="0" quotePrefix="0" xfId="47"/>
    <xf numFmtId="10" fontId="25" fillId="16" borderId="51" pivotButton="0" quotePrefix="0" xfId="47"/>
    <xf numFmtId="10" fontId="25" fillId="6" borderId="44" pivotButton="0" quotePrefix="0" xfId="47"/>
    <xf numFmtId="10" fontId="19" fillId="16" borderId="49" applyAlignment="1" pivotButton="0" quotePrefix="0" xfId="47">
      <alignment horizontal="center"/>
    </xf>
    <xf numFmtId="10" fontId="19" fillId="16" borderId="42" applyAlignment="1" pivotButton="0" quotePrefix="0" xfId="47">
      <alignment horizontal="center"/>
    </xf>
    <xf numFmtId="164" fontId="0" fillId="16" borderId="48" pivotButton="0" quotePrefix="0" xfId="48"/>
    <xf numFmtId="10" fontId="25" fillId="16" borderId="16" pivotButton="0" quotePrefix="0" xfId="47"/>
    <xf numFmtId="10" fontId="25" fillId="16" borderId="43" pivotButton="0" quotePrefix="0" xfId="47"/>
    <xf numFmtId="10" fontId="25" fillId="16" borderId="40" pivotButton="0" quotePrefix="0" xfId="47"/>
    <xf numFmtId="166" fontId="0" fillId="8" borderId="0" pivotButton="0" quotePrefix="0" xfId="49"/>
    <xf numFmtId="170" fontId="18" fillId="6" borderId="60" applyAlignment="1" pivotButton="0" quotePrefix="0" xfId="39">
      <alignment horizontal="right"/>
    </xf>
    <xf numFmtId="170" fontId="18" fillId="6" borderId="58" applyAlignment="1" pivotButton="0" quotePrefix="0" xfId="39">
      <alignment horizontal="right"/>
    </xf>
    <xf numFmtId="164" fontId="17" fillId="0" borderId="1" pivotButton="0" quotePrefix="0" xfId="40"/>
    <xf numFmtId="164" fontId="39" fillId="6" borderId="7" applyAlignment="1" pivotButton="0" quotePrefix="0" xfId="46">
      <alignment horizontal="right"/>
    </xf>
    <xf numFmtId="175" fontId="19" fillId="11" borderId="48" applyAlignment="1" pivotButton="0" quotePrefix="0" xfId="47">
      <alignment horizontal="center"/>
    </xf>
    <xf numFmtId="164" fontId="25" fillId="10" borderId="16" pivotButton="0" quotePrefix="0" xfId="47"/>
    <xf numFmtId="9" fontId="20" fillId="6" borderId="16" pivotButton="0" quotePrefix="0" xfId="39"/>
    <xf numFmtId="0" fontId="26" fillId="0" borderId="47" pivotButton="0" quotePrefix="0" xfId="0"/>
    <xf numFmtId="0" fontId="0" fillId="0" borderId="46" pivotButton="0" quotePrefix="0" xfId="0"/>
    <xf numFmtId="0" fontId="0" fillId="0" borderId="45" pivotButton="0" quotePrefix="0" xfId="0"/>
    <xf numFmtId="0" fontId="19" fillId="0" borderId="44" pivotButton="0" quotePrefix="0" xfId="0"/>
    <xf numFmtId="0" fontId="19" fillId="0" borderId="41" pivotButton="0" quotePrefix="0" xfId="0"/>
    <xf numFmtId="0" fontId="0" fillId="0" borderId="8" pivotButton="0" quotePrefix="0" xfId="0"/>
    <xf numFmtId="0" fontId="8" fillId="0" borderId="44" pivotButton="0" quotePrefix="0" xfId="39"/>
    <xf numFmtId="176" fontId="12" fillId="0" borderId="0" applyAlignment="1" pivotButton="0" quotePrefix="0" xfId="39">
      <alignment horizontal="left"/>
    </xf>
    <xf numFmtId="167" fontId="12" fillId="6" borderId="0" pivotButton="0" quotePrefix="0" xfId="39"/>
    <xf numFmtId="167" fontId="12" fillId="6" borderId="0" applyAlignment="1" pivotButton="0" quotePrefix="0" xfId="39">
      <alignment horizontal="right"/>
    </xf>
    <xf numFmtId="167" fontId="12" fillId="16" borderId="0" pivotButton="0" quotePrefix="0" xfId="39"/>
    <xf numFmtId="0" fontId="12" fillId="16" borderId="0" applyAlignment="1" pivotButton="0" quotePrefix="0" xfId="39">
      <alignment horizontal="right"/>
    </xf>
    <xf numFmtId="167" fontId="12" fillId="16" borderId="0" applyAlignment="1" pivotButton="0" quotePrefix="0" xfId="39">
      <alignment horizontal="right"/>
    </xf>
    <xf numFmtId="164" fontId="25" fillId="15" borderId="16" pivotButton="0" quotePrefix="0" xfId="47"/>
    <xf numFmtId="0" fontId="19" fillId="13" borderId="0" pivotButton="0" quotePrefix="0" xfId="47"/>
    <xf numFmtId="1" fontId="25" fillId="6" borderId="48" applyAlignment="1" pivotButton="0" quotePrefix="0" xfId="47">
      <alignment horizontal="center"/>
    </xf>
    <xf numFmtId="1" fontId="8" fillId="0" borderId="3" pivotButton="0" quotePrefix="0" xfId="39"/>
    <xf numFmtId="10" fontId="0" fillId="16" borderId="48" pivotButton="0" quotePrefix="0" xfId="0"/>
    <xf numFmtId="177" fontId="0" fillId="16" borderId="48" pivotButton="0" quotePrefix="0" xfId="0"/>
    <xf numFmtId="9" fontId="0" fillId="16" borderId="48" pivotButton="0" quotePrefix="0" xfId="0"/>
    <xf numFmtId="9" fontId="0" fillId="16" borderId="40" pivotButton="0" quotePrefix="0" xfId="0"/>
    <xf numFmtId="164" fontId="0" fillId="16" borderId="43" pivotButton="0" quotePrefix="0" xfId="0"/>
    <xf numFmtId="165" fontId="0" fillId="16" borderId="40" pivotButton="0" quotePrefix="0" xfId="42"/>
    <xf numFmtId="174" fontId="38" fillId="15" borderId="6" pivotButton="0" quotePrefix="0" xfId="51"/>
    <xf numFmtId="10" fontId="38" fillId="15" borderId="7" pivotButton="0" quotePrefix="0" xfId="51"/>
    <xf numFmtId="0" fontId="2" fillId="0" borderId="0" pivotButton="0" quotePrefix="0" xfId="50"/>
    <xf numFmtId="10" fontId="0" fillId="16" borderId="43" pivotButton="0" quotePrefix="0" xfId="0"/>
    <xf numFmtId="10" fontId="12" fillId="0" borderId="0" applyAlignment="1" pivotButton="0" quotePrefix="0" xfId="39">
      <alignment horizontal="left"/>
    </xf>
    <xf numFmtId="3" fontId="12" fillId="0" borderId="0" applyAlignment="1" pivotButton="0" quotePrefix="0" xfId="39">
      <alignment horizontal="right"/>
    </xf>
    <xf numFmtId="167" fontId="8" fillId="0" borderId="0" applyAlignment="1" pivotButton="0" quotePrefix="0" xfId="50">
      <alignment horizontal="right"/>
    </xf>
    <xf numFmtId="167" fontId="7" fillId="0" borderId="0" applyAlignment="1" pivotButton="0" quotePrefix="0" xfId="50">
      <alignment horizontal="right"/>
    </xf>
    <xf numFmtId="172" fontId="0" fillId="0" borderId="0" pivotButton="0" quotePrefix="0" xfId="0"/>
    <xf numFmtId="0" fontId="16" fillId="0" borderId="9" applyAlignment="1" pivotButton="0" quotePrefix="0" xfId="39">
      <alignment horizontal="left"/>
    </xf>
    <xf numFmtId="164" fontId="18" fillId="6" borderId="41" pivotButton="0" quotePrefix="0" xfId="39"/>
    <xf numFmtId="170" fontId="18" fillId="6" borderId="0" pivotButton="0" quotePrefix="0" xfId="39"/>
    <xf numFmtId="3" fontId="1" fillId="0" borderId="0" pivotButton="0" quotePrefix="0" xfId="50"/>
    <xf numFmtId="0" fontId="19" fillId="0" borderId="39" applyAlignment="1" pivotButton="0" quotePrefix="0" xfId="47">
      <alignment horizontal="center" wrapText="1"/>
    </xf>
    <xf numFmtId="164" fontId="25" fillId="16" borderId="0" pivotButton="0" quotePrefix="0" xfId="47"/>
    <xf numFmtId="9" fontId="25" fillId="0" borderId="48" pivotButton="0" quotePrefix="0" xfId="47"/>
    <xf numFmtId="169" fontId="25" fillId="9" borderId="43" applyAlignment="1" pivotButton="0" quotePrefix="0" xfId="47">
      <alignment horizontal="center"/>
    </xf>
    <xf numFmtId="9" fontId="25" fillId="0" borderId="16" pivotButton="0" quotePrefix="0" xfId="47"/>
    <xf numFmtId="164" fontId="26" fillId="0" borderId="45" pivotButton="0" quotePrefix="0" xfId="47"/>
    <xf numFmtId="166" fontId="0" fillId="0" borderId="46" pivotButton="0" quotePrefix="0" xfId="49"/>
    <xf numFmtId="170" fontId="25" fillId="9" borderId="16" pivotButton="0" quotePrefix="0" xfId="47"/>
    <xf numFmtId="170" fontId="25" fillId="6" borderId="40" pivotButton="0" quotePrefix="0" xfId="47"/>
    <xf numFmtId="0" fontId="17" fillId="0" borderId="6" applyAlignment="1" pivotButton="0" quotePrefix="0" xfId="39">
      <alignment horizontal="center" wrapText="1"/>
    </xf>
    <xf numFmtId="0" fontId="17" fillId="0" borderId="4" applyAlignment="1" pivotButton="0" quotePrefix="0" xfId="39">
      <alignment horizontal="center" wrapText="1"/>
    </xf>
    <xf numFmtId="0" fontId="16" fillId="0" borderId="0" applyAlignment="1" pivotButton="0" quotePrefix="0" xfId="0">
      <alignment horizontal="right"/>
    </xf>
    <xf numFmtId="0" fontId="16" fillId="0" borderId="42" applyAlignment="1" pivotButton="0" quotePrefix="0" xfId="0">
      <alignment horizontal="right"/>
    </xf>
    <xf numFmtId="0" fontId="19" fillId="0" borderId="43" applyAlignment="1" pivotButton="0" quotePrefix="0" xfId="47">
      <alignment horizontal="center" vertical="center" textRotation="90" wrapText="1"/>
    </xf>
    <xf numFmtId="0" fontId="19" fillId="0" borderId="48" applyAlignment="1" pivotButton="0" quotePrefix="0" xfId="47">
      <alignment horizontal="center" vertical="center" textRotation="90" wrapText="1"/>
    </xf>
    <xf numFmtId="0" fontId="19" fillId="0" borderId="40" applyAlignment="1" pivotButton="0" quotePrefix="0" xfId="47">
      <alignment horizontal="center" vertical="center" textRotation="90" wrapText="1"/>
    </xf>
    <xf numFmtId="0" fontId="17" fillId="0" borderId="61" applyAlignment="1" pivotButton="0" quotePrefix="0" xfId="39">
      <alignment horizontal="center" wrapText="1"/>
    </xf>
    <xf numFmtId="0" fontId="0" fillId="0" borderId="4" pivotButton="0" quotePrefix="0" xfId="0"/>
    <xf numFmtId="170" fontId="18" fillId="6" borderId="60" applyAlignment="1" pivotButton="0" quotePrefix="0" xfId="39">
      <alignment horizontal="right"/>
    </xf>
    <xf numFmtId="170" fontId="18" fillId="6" borderId="58" applyAlignment="1" pivotButton="0" quotePrefix="0" xfId="39">
      <alignment horizontal="right"/>
    </xf>
    <xf numFmtId="170" fontId="18" fillId="6" borderId="0" pivotButton="0" quotePrefix="0" xfId="39"/>
    <xf numFmtId="0" fontId="0" fillId="0" borderId="42" pivotButton="0" quotePrefix="0" xfId="0"/>
    <xf numFmtId="167" fontId="25" fillId="16" borderId="43" pivotButton="0" quotePrefix="0" xfId="47"/>
    <xf numFmtId="170" fontId="25" fillId="16" borderId="43" pivotButton="0" quotePrefix="0" xfId="47"/>
    <xf numFmtId="170" fontId="25" fillId="9" borderId="43" pivotButton="0" quotePrefix="0" xfId="47"/>
    <xf numFmtId="167" fontId="25" fillId="16" borderId="48" pivotButton="0" quotePrefix="0" xfId="47"/>
    <xf numFmtId="170" fontId="25" fillId="16" borderId="48" pivotButton="0" quotePrefix="0" xfId="47"/>
    <xf numFmtId="170" fontId="25" fillId="6" borderId="48" pivotButton="0" quotePrefix="0" xfId="47"/>
    <xf numFmtId="170" fontId="25" fillId="6" borderId="40" pivotButton="0" quotePrefix="0" xfId="47"/>
    <xf numFmtId="170" fontId="25" fillId="9" borderId="16" pivotButton="0" quotePrefix="0" xfId="47"/>
    <xf numFmtId="167" fontId="25" fillId="6" borderId="16" pivotButton="0" quotePrefix="0" xfId="47"/>
    <xf numFmtId="167" fontId="25" fillId="0" borderId="0" pivotButton="0" quotePrefix="0" xfId="47"/>
    <xf numFmtId="175" fontId="19" fillId="11" borderId="40" applyAlignment="1" pivotButton="0" quotePrefix="0" xfId="47">
      <alignment horizontal="center"/>
    </xf>
    <xf numFmtId="175" fontId="19" fillId="11" borderId="48" applyAlignment="1" pivotButton="0" quotePrefix="0" xfId="47">
      <alignment horizontal="center"/>
    </xf>
    <xf numFmtId="171" fontId="0" fillId="0" borderId="16" pivotButton="0" quotePrefix="0" xfId="49"/>
    <xf numFmtId="170" fontId="25" fillId="0" borderId="50" pivotButton="0" quotePrefix="0" xfId="47"/>
    <xf numFmtId="170" fontId="25" fillId="0" borderId="0" pivotButton="0" quotePrefix="0" xfId="47"/>
    <xf numFmtId="167" fontId="19" fillId="16" borderId="0" applyAlignment="1" pivotButton="0" quotePrefix="0" xfId="47">
      <alignment horizontal="center"/>
    </xf>
    <xf numFmtId="167" fontId="25" fillId="16" borderId="0" applyAlignment="1" pivotButton="0" quotePrefix="0" xfId="47">
      <alignment horizontal="center"/>
    </xf>
    <xf numFmtId="169" fontId="25" fillId="9" borderId="43" applyAlignment="1" pivotButton="0" quotePrefix="0" xfId="47">
      <alignment horizontal="center"/>
    </xf>
    <xf numFmtId="169" fontId="25" fillId="9" borderId="16" applyAlignment="1" pivotButton="0" quotePrefix="0" xfId="47">
      <alignment horizontal="center"/>
    </xf>
    <xf numFmtId="0" fontId="19" fillId="0" borderId="16" applyAlignment="1" pivotButton="0" quotePrefix="0" xfId="47">
      <alignment horizontal="center" vertical="center" textRotation="90" wrapText="1"/>
    </xf>
    <xf numFmtId="0" fontId="0" fillId="0" borderId="48" pivotButton="0" quotePrefix="0" xfId="0"/>
    <xf numFmtId="0" fontId="0" fillId="0" borderId="40" pivotButton="0" quotePrefix="0" xfId="0"/>
    <xf numFmtId="168" fontId="25" fillId="0" borderId="8" pivotButton="0" quotePrefix="0" xfId="47"/>
    <xf numFmtId="167" fontId="25" fillId="0" borderId="42" pivotButton="0" quotePrefix="0" xfId="47"/>
    <xf numFmtId="167" fontId="25" fillId="0" borderId="39" pivotButton="0" quotePrefix="0" xfId="47"/>
    <xf numFmtId="177" fontId="0" fillId="16" borderId="48" pivotButton="0" quotePrefix="0" xfId="0"/>
    <xf numFmtId="173" fontId="38" fillId="0" borderId="0" pivotButton="0" quotePrefix="0" xfId="51"/>
    <xf numFmtId="167" fontId="38" fillId="0" borderId="0" pivotButton="0" quotePrefix="0" xfId="51"/>
    <xf numFmtId="174" fontId="38" fillId="15" borderId="6" pivotButton="0" quotePrefix="0" xfId="51"/>
    <xf numFmtId="174" fontId="38" fillId="0" borderId="6" pivotButton="0" quotePrefix="0" xfId="51"/>
    <xf numFmtId="172" fontId="32" fillId="0" borderId="0" pivotButton="0" quotePrefix="0" xfId="50"/>
    <xf numFmtId="172" fontId="29" fillId="0" borderId="0" pivotButton="0" quotePrefix="0" xfId="50"/>
    <xf numFmtId="167" fontId="7" fillId="0" borderId="0" pivotButton="0" quotePrefix="0" xfId="50"/>
    <xf numFmtId="167" fontId="29" fillId="0" borderId="0" pivotButton="0" quotePrefix="0" xfId="50"/>
    <xf numFmtId="170" fontId="6" fillId="0" borderId="0" pivotButton="0" quotePrefix="0" xfId="50"/>
    <xf numFmtId="172" fontId="30" fillId="0" borderId="12" pivotButton="0" quotePrefix="0" xfId="50"/>
    <xf numFmtId="172" fontId="7" fillId="0" borderId="0" pivotButton="0" quotePrefix="0" xfId="50"/>
    <xf numFmtId="167" fontId="12" fillId="16" borderId="0" pivotButton="0" quotePrefix="0" xfId="39"/>
    <xf numFmtId="167" fontId="12" fillId="6" borderId="0" pivotButton="0" quotePrefix="0" xfId="39"/>
    <xf numFmtId="167" fontId="12" fillId="16" borderId="0" applyAlignment="1" pivotButton="0" quotePrefix="0" xfId="39">
      <alignment horizontal="right"/>
    </xf>
    <xf numFmtId="167" fontId="12" fillId="6" borderId="0" applyAlignment="1" pivotButton="0" quotePrefix="0" xfId="39">
      <alignment horizontal="right"/>
    </xf>
    <xf numFmtId="167" fontId="7" fillId="0" borderId="5" pivotButton="0" quotePrefix="0" xfId="50"/>
    <xf numFmtId="172" fontId="6" fillId="0" borderId="5" pivotButton="0" quotePrefix="0" xfId="50"/>
    <xf numFmtId="176" fontId="12" fillId="0" borderId="0" applyAlignment="1" pivotButton="0" quotePrefix="0" xfId="39">
      <alignment horizontal="left"/>
    </xf>
    <xf numFmtId="167" fontId="8" fillId="0" borderId="0" applyAlignment="1" pivotButton="0" quotePrefix="0" xfId="50">
      <alignment horizontal="right"/>
    </xf>
    <xf numFmtId="167" fontId="7" fillId="0" borderId="0" applyAlignment="1" pivotButton="0" quotePrefix="0" xfId="50">
      <alignment horizontal="right"/>
    </xf>
    <xf numFmtId="167" fontId="12" fillId="0" borderId="0" pivotButton="0" quotePrefix="0" xfId="39"/>
    <xf numFmtId="167" fontId="12" fillId="0" borderId="5" pivotButton="0" quotePrefix="0" xfId="39"/>
    <xf numFmtId="167" fontId="0" fillId="0" borderId="0" pivotButton="0" quotePrefix="0" xfId="0"/>
    <xf numFmtId="170" fontId="0" fillId="0" borderId="0" pivotButton="0" quotePrefix="0" xfId="0"/>
    <xf numFmtId="172" fontId="0" fillId="0" borderId="0" pivotButton="0" quotePrefix="0" xfId="0"/>
  </cellXfs>
  <cellStyles count="15">
    <cellStyle name="Normal" xfId="0" builtinId="0"/>
    <cellStyle name="Hyperlink" xfId="1" builtinId="8" hidden="1"/>
    <cellStyle name="Followed Hyperlink" xfId="2" builtinId="9" hidden="1"/>
    <cellStyle name="Normal 2" xfId="3"/>
    <cellStyle name="Comma 2" xfId="4"/>
    <cellStyle name="Percent 2" xfId="5"/>
    <cellStyle name="Percent 3" xfId="6"/>
    <cellStyle name="Currency" xfId="7" builtinId="4"/>
    <cellStyle name="Bad" xfId="8" builtinId="27"/>
    <cellStyle name="Normal 3" xfId="9"/>
    <cellStyle name="Comma 3" xfId="10"/>
    <cellStyle name="Currency 2" xfId="11"/>
    <cellStyle name="Normal 3 2" xfId="12"/>
    <cellStyle name="Normal 4" xfId="13"/>
    <cellStyle name="Normal 5" xfId="14"/>
  </cellStyles>
  <tableStyles count="0" defaultTableStyle="TableStyleMedium9" defaultPivotStyle="PivotStyleMedium7"/>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omments/comment1.xml><?xml version="1.0" encoding="utf-8"?>
<comments xmlns="http://schemas.openxmlformats.org/spreadsheetml/2006/main">
  <authors>
    <author>jad10</author>
  </authors>
  <commentList>
    <comment ref="F6" authorId="0" shapeId="0">
      <text>
        <t xml:space="preserve">For first floor retail only.  Upper floor retails rents would be significantly less.
</t>
      </text>
    </comment>
    <comment ref="F10" authorId="0" shapeId="0">
      <text>
        <t>Note the resulting monthly rent below in cell G39</t>
      </text>
    </comment>
    <comment ref="F12" authorId="0" shapeId="0">
      <text>
        <t>Note the resulting monthly rent below in cell G40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tabColor rgb="FF00B0F0"/>
    <outlinePr summaryBelow="1" summaryRight="1"/>
    <pageSetUpPr fitToPage="1"/>
  </sheetPr>
  <dimension ref="B1:P43"/>
  <sheetViews>
    <sheetView showGridLines="0" zoomScale="90" zoomScaleNormal="90" workbookViewId="0">
      <selection activeCell="I8" sqref="E8:I16"/>
    </sheetView>
  </sheetViews>
  <sheetFormatPr baseColWidth="8" defaultColWidth="9.75" defaultRowHeight="15.5"/>
  <cols>
    <col width="1.5" customWidth="1" style="1" min="1" max="1"/>
    <col width="6.75" customWidth="1" style="1" min="2" max="2"/>
    <col width="20.58203125" customWidth="1" style="1" min="3" max="3"/>
    <col width="14.33203125" customWidth="1" style="2" min="4" max="4"/>
    <col width="23.58203125" customWidth="1" style="3" min="5" max="5"/>
    <col width="17.25" customWidth="1" style="6" min="6" max="6"/>
    <col width="24.75" customWidth="1" style="1" min="7" max="7"/>
    <col width="16.75" customWidth="1" style="1" min="8" max="8"/>
    <col width="17.5" customWidth="1" style="8" min="9" max="9"/>
    <col width="15.75" customWidth="1" style="1" min="10" max="10"/>
    <col width="18.25" customWidth="1" style="1" min="11" max="11"/>
    <col width="10.75" customWidth="1" style="1" min="12" max="12"/>
    <col width="9.75" customWidth="1" style="1" min="13" max="13"/>
    <col width="13.25" customWidth="1" style="1" min="14" max="14"/>
    <col width="11" customWidth="1" style="1" min="15" max="15"/>
    <col width="9.75" customWidth="1" style="1" min="16" max="16"/>
    <col width="12" customWidth="1" style="1" min="17" max="17"/>
    <col width="9.75" customWidth="1" style="1" min="18" max="16384"/>
  </cols>
  <sheetData>
    <row r="1" ht="20" customHeight="1">
      <c r="B1" s="116" t="inlineStr">
        <is>
          <t>Crown Heights Feasibility</t>
        </is>
      </c>
      <c r="F1" s="6" t="n"/>
      <c r="I1" s="1" t="n"/>
      <c r="M1" s="230" t="n"/>
      <c r="N1" s="230" t="n"/>
      <c r="O1" s="230" t="n"/>
      <c r="P1" s="230" t="n"/>
    </row>
    <row r="2" ht="16" customHeight="1" thickBot="1">
      <c r="G2" s="7" t="n"/>
    </row>
    <row r="3">
      <c r="B3" s="96" t="n"/>
      <c r="C3" s="1" t="inlineStr">
        <is>
          <t>Data input cells</t>
        </is>
      </c>
      <c r="E3" s="9" t="inlineStr">
        <is>
          <t>FIT TEST</t>
        </is>
      </c>
      <c r="F3" s="10" t="n"/>
      <c r="G3" s="11" t="inlineStr">
        <is>
          <t>Elevation Space Diagram</t>
        </is>
      </c>
      <c r="H3" s="10" t="n"/>
      <c r="I3" s="12" t="n"/>
      <c r="J3" s="13" t="n"/>
    </row>
    <row r="4">
      <c r="B4" s="97" t="n"/>
      <c r="C4" s="1" t="inlineStr">
        <is>
          <t xml:space="preserve">Calculated cells </t>
        </is>
      </c>
      <c r="E4" s="14" t="n"/>
      <c r="F4" s="15" t="n"/>
      <c r="H4" s="16" t="n"/>
      <c r="I4" s="16" t="n"/>
      <c r="J4" s="17" t="n"/>
    </row>
    <row r="5">
      <c r="E5" s="18" t="inlineStr">
        <is>
          <t>Floor</t>
        </is>
      </c>
      <c r="F5" s="19" t="inlineStr">
        <is>
          <t>Floor to Floor</t>
        </is>
      </c>
      <c r="G5" s="19" t="inlineStr">
        <is>
          <t xml:space="preserve">Type of </t>
        </is>
      </c>
      <c r="H5" s="20" t="inlineStr">
        <is>
          <t>Gross</t>
        </is>
      </c>
      <c r="I5" s="20" t="inlineStr">
        <is>
          <t>Efficiency</t>
        </is>
      </c>
      <c r="J5" s="21" t="inlineStr">
        <is>
          <t>Leasable</t>
        </is>
      </c>
    </row>
    <row r="6">
      <c r="E6" s="22" t="inlineStr">
        <is>
          <t>Number</t>
        </is>
      </c>
      <c r="F6" s="23" t="inlineStr">
        <is>
          <t>Height</t>
        </is>
      </c>
      <c r="G6" s="23" t="inlineStr">
        <is>
          <t>Space</t>
        </is>
      </c>
      <c r="H6" s="24" t="inlineStr">
        <is>
          <t>Area (SF)</t>
        </is>
      </c>
      <c r="I6" s="24" t="inlineStr">
        <is>
          <t>Factor</t>
        </is>
      </c>
      <c r="J6" s="25" t="inlineStr">
        <is>
          <t>Area @</t>
        </is>
      </c>
    </row>
    <row r="7">
      <c r="E7" s="14" t="n"/>
      <c r="F7" s="8" t="n"/>
      <c r="H7" s="230" t="n"/>
      <c r="I7" s="16" t="n"/>
      <c r="J7" s="26" t="n"/>
      <c r="O7" s="230" t="n"/>
    </row>
    <row r="8" ht="16" customHeight="1" thickBot="1">
      <c r="E8" s="14" t="n">
        <v>8</v>
      </c>
      <c r="F8" s="8" t="n">
        <v>10</v>
      </c>
      <c r="G8" s="27" t="inlineStr">
        <is>
          <t>Apartments</t>
        </is>
      </c>
      <c r="H8" s="230" t="n">
        <v>20700</v>
      </c>
      <c r="I8" s="113" t="n">
        <v>0.82</v>
      </c>
      <c r="J8" s="112">
        <f>H8*I8</f>
        <v/>
      </c>
      <c r="O8" s="230" t="n"/>
    </row>
    <row r="9" ht="16" customHeight="1" thickBot="1">
      <c r="E9" s="14" t="n">
        <v>7</v>
      </c>
      <c r="F9" s="8" t="n">
        <v>10</v>
      </c>
      <c r="G9" s="27" t="inlineStr">
        <is>
          <t>Apartments</t>
        </is>
      </c>
      <c r="H9" s="230" t="n">
        <v>20700</v>
      </c>
      <c r="I9" s="113" t="n">
        <v>0.82</v>
      </c>
      <c r="J9" s="112">
        <f>H9*I9</f>
        <v/>
      </c>
      <c r="O9" s="230" t="n"/>
    </row>
    <row r="10" ht="16" customHeight="1" thickBot="1">
      <c r="E10" s="14" t="n">
        <v>6</v>
      </c>
      <c r="F10" s="8" t="n">
        <v>10</v>
      </c>
      <c r="G10" s="27" t="inlineStr">
        <is>
          <t>Apartments</t>
        </is>
      </c>
      <c r="H10" s="230" t="n">
        <v>20700</v>
      </c>
      <c r="I10" s="113" t="n">
        <v>0.82</v>
      </c>
      <c r="J10" s="112">
        <f>H10*I10</f>
        <v/>
      </c>
      <c r="O10" s="230" t="n"/>
    </row>
    <row r="11" ht="16" customHeight="1" thickBot="1">
      <c r="E11" s="14" t="n">
        <v>5</v>
      </c>
      <c r="F11" s="8" t="n">
        <v>10</v>
      </c>
      <c r="G11" s="27" t="inlineStr">
        <is>
          <t>Apartments</t>
        </is>
      </c>
      <c r="H11" s="230" t="n">
        <v>20700</v>
      </c>
      <c r="I11" s="113" t="n">
        <v>0.82</v>
      </c>
      <c r="J11" s="112">
        <f>H11*I11</f>
        <v/>
      </c>
      <c r="O11" s="230" t="n"/>
    </row>
    <row r="12" ht="19.9" customHeight="1" thickBot="1">
      <c r="E12" s="14" t="n">
        <v>4</v>
      </c>
      <c r="F12" s="8" t="n">
        <v>10</v>
      </c>
      <c r="G12" s="27" t="inlineStr">
        <is>
          <t>Apartments</t>
        </is>
      </c>
      <c r="H12" s="230" t="n">
        <v>20700</v>
      </c>
      <c r="I12" s="113" t="n">
        <v>0.82</v>
      </c>
      <c r="J12" s="112">
        <f>H12*I12</f>
        <v/>
      </c>
      <c r="O12" s="230" t="n"/>
    </row>
    <row r="13" ht="16" customHeight="1" thickBot="1">
      <c r="E13" s="14" t="n">
        <v>3</v>
      </c>
      <c r="F13" s="8" t="n">
        <v>10</v>
      </c>
      <c r="G13" s="27" t="inlineStr">
        <is>
          <t>Apartments</t>
        </is>
      </c>
      <c r="H13" s="230" t="n">
        <v>20700</v>
      </c>
      <c r="I13" s="113" t="n">
        <v>0.82</v>
      </c>
      <c r="J13" s="112">
        <f>H13*I13</f>
        <v/>
      </c>
      <c r="O13" s="230" t="n"/>
    </row>
    <row r="14" ht="16" customHeight="1" thickBot="1">
      <c r="E14" s="14" t="n">
        <v>2</v>
      </c>
      <c r="F14" s="8" t="n">
        <v>10</v>
      </c>
      <c r="G14" s="27" t="inlineStr">
        <is>
          <t>Apartments</t>
        </is>
      </c>
      <c r="H14" s="230" t="n">
        <v>20700</v>
      </c>
      <c r="I14" s="113" t="n">
        <v>0.82</v>
      </c>
      <c r="J14" s="112">
        <f>H14*I14</f>
        <v/>
      </c>
      <c r="O14" s="230" t="n"/>
    </row>
    <row r="15" ht="16" customHeight="1" thickBot="1">
      <c r="E15" s="28" t="n">
        <v>1</v>
      </c>
      <c r="F15" s="29" t="n">
        <v>10</v>
      </c>
      <c r="G15" s="27" t="inlineStr">
        <is>
          <t>Retail</t>
        </is>
      </c>
      <c r="H15" s="230" t="n">
        <v>20700</v>
      </c>
      <c r="I15" s="113" t="n">
        <v>0.82</v>
      </c>
      <c r="J15" s="112">
        <f>H15*I15</f>
        <v/>
      </c>
      <c r="O15" s="230" t="n"/>
    </row>
    <row r="16" ht="16" customHeight="1" thickBot="1">
      <c r="E16" s="30" t="n">
        <v>-1</v>
      </c>
      <c r="F16" s="13" t="n">
        <v>25</v>
      </c>
      <c r="G16" s="31" t="inlineStr">
        <is>
          <t>Parking</t>
        </is>
      </c>
      <c r="H16" s="32" t="n">
        <v>20700</v>
      </c>
      <c r="I16" s="121" t="n">
        <v>0.58</v>
      </c>
      <c r="J16" s="112">
        <f>H16*I16</f>
        <v/>
      </c>
      <c r="O16" s="45" t="n"/>
    </row>
    <row r="17" ht="16" customHeight="1" thickBot="1">
      <c r="E17" s="28" t="n"/>
      <c r="F17" s="29" t="n"/>
      <c r="G17" s="7" t="n"/>
      <c r="H17" s="385">
        <f>SUM(H7:H16)</f>
        <v/>
      </c>
      <c r="I17" s="86" t="n"/>
      <c r="J17" s="386">
        <f>SUM(J8:J16)</f>
        <v/>
      </c>
      <c r="N17" s="230" t="n"/>
    </row>
    <row r="19" ht="16" customHeight="1" thickBot="1">
      <c r="C19" s="33" t="n"/>
    </row>
    <row r="20" ht="19.9" customHeight="1" thickBot="1">
      <c r="C20" s="34" t="inlineStr">
        <is>
          <t>Effective Gross Income</t>
        </is>
      </c>
      <c r="D20" s="10" t="n"/>
      <c r="E20" s="10" t="n"/>
      <c r="F20" s="442" t="inlineStr">
        <is>
          <t>Potential Gross Income</t>
        </is>
      </c>
      <c r="H20" s="35" t="inlineStr">
        <is>
          <t>Total Development Cost</t>
        </is>
      </c>
      <c r="I20" s="10" t="n"/>
      <c r="J20" s="10" t="n"/>
      <c r="K20" s="36" t="n"/>
    </row>
    <row r="21" ht="19.9" customHeight="1" thickBot="1">
      <c r="C21" s="37" t="inlineStr">
        <is>
          <t>Space</t>
        </is>
      </c>
      <c r="D21" s="38" t="inlineStr">
        <is>
          <t>SF</t>
        </is>
      </c>
      <c r="E21" s="38" t="inlineStr">
        <is>
          <t>Rate per Sq Ft.</t>
        </is>
      </c>
      <c r="F21" s="443" t="n"/>
      <c r="H21" s="310">
        <f>H17</f>
        <v/>
      </c>
      <c r="I21" s="72" t="inlineStr">
        <is>
          <t xml:space="preserve"> Gross Area SF @</t>
        </is>
      </c>
      <c r="J21" s="73" t="n">
        <v>350</v>
      </c>
      <c r="K21" s="74" t="inlineStr">
        <is>
          <t>$/SF</t>
        </is>
      </c>
    </row>
    <row r="22" ht="19.9" customHeight="1">
      <c r="C22" s="39" t="inlineStr">
        <is>
          <t>Parking/Storage</t>
        </is>
      </c>
      <c r="D22" s="340">
        <f>J16</f>
        <v/>
      </c>
      <c r="E22" s="444" t="n">
        <v>48.82</v>
      </c>
      <c r="F22" s="98">
        <f>D22*E22</f>
        <v/>
      </c>
      <c r="H22" s="75" t="n"/>
      <c r="I22" s="76" t="inlineStr">
        <is>
          <t>Sub-Total Construction =</t>
        </is>
      </c>
      <c r="J22" s="104">
        <f>SUM(H17*J21)</f>
        <v/>
      </c>
      <c r="K22" s="77" t="n"/>
    </row>
    <row r="23" ht="19.9" customHeight="1">
      <c r="C23" s="337" t="inlineStr">
        <is>
          <t>Retail</t>
        </is>
      </c>
      <c r="D23" s="339">
        <f>J15</f>
        <v/>
      </c>
      <c r="E23" s="445" t="n">
        <v>45</v>
      </c>
      <c r="F23" s="98">
        <f>D23*E23</f>
        <v/>
      </c>
      <c r="H23" s="118" t="inlineStr">
        <is>
          <t>Property Acquistion</t>
        </is>
      </c>
      <c r="I23" s="119" t="n"/>
      <c r="J23" s="120" t="n">
        <v>2000000</v>
      </c>
      <c r="K23" s="74" t="n"/>
    </row>
    <row r="24" ht="19.9" customHeight="1">
      <c r="C24" s="235" t="inlineStr">
        <is>
          <t>Apartment</t>
        </is>
      </c>
      <c r="D24" s="338">
        <f>SUM(J8:J14)</f>
        <v/>
      </c>
      <c r="E24" s="445" t="n">
        <v>45.51</v>
      </c>
      <c r="F24" s="98">
        <f>D24*E24</f>
        <v/>
      </c>
      <c r="H24" s="79" t="inlineStr">
        <is>
          <t>Construction</t>
        </is>
      </c>
      <c r="I24" s="114" t="inlineStr">
        <is>
          <t>Hard Cost</t>
        </is>
      </c>
      <c r="J24" s="105">
        <f>J22</f>
        <v/>
      </c>
      <c r="K24" s="80" t="n"/>
      <c r="L24" s="43" t="n"/>
    </row>
    <row r="25" ht="19.9" customHeight="1">
      <c r="C25" s="422" t="n"/>
      <c r="D25" s="423" t="n"/>
      <c r="E25" s="446" t="n"/>
      <c r="F25" s="234" t="n"/>
      <c r="H25" s="79" t="inlineStr">
        <is>
          <t>Mortgage Cost</t>
        </is>
      </c>
      <c r="I25" s="114" t="n">
        <v>0.04</v>
      </c>
      <c r="J25" s="105">
        <f>SUM(J23:J24,J26,J27)*I25</f>
        <v/>
      </c>
      <c r="K25" s="80" t="n"/>
      <c r="L25" s="43" t="n"/>
    </row>
    <row r="26" ht="19.9" customHeight="1">
      <c r="C26" s="42" t="inlineStr">
        <is>
          <t xml:space="preserve">Total </t>
        </is>
      </c>
      <c r="D26" s="100">
        <f>SUM(D22:D24)</f>
        <v/>
      </c>
      <c r="E26" s="44" t="inlineStr">
        <is>
          <t>Gross revenues</t>
        </is>
      </c>
      <c r="F26" s="99">
        <f>SUM(F22:F24)</f>
        <v/>
      </c>
      <c r="H26" s="79" t="inlineStr">
        <is>
          <t>Soft Costs</t>
        </is>
      </c>
      <c r="I26" s="114" t="n"/>
      <c r="J26" s="105">
        <f>'Soft Costs'!D23</f>
        <v/>
      </c>
      <c r="K26" s="80" t="n"/>
      <c r="L26" s="43" t="n"/>
    </row>
    <row r="27" ht="19.9" customHeight="1" thickBot="1">
      <c r="C27" s="42" t="n"/>
      <c r="D27" s="45" t="n"/>
      <c r="E27" s="44" t="n"/>
      <c r="F27" s="341" t="n"/>
      <c r="H27" s="79" t="inlineStr">
        <is>
          <t>FF&amp;E</t>
        </is>
      </c>
      <c r="I27" s="343" t="n">
        <v>0.02</v>
      </c>
      <c r="J27" s="105">
        <f>I27*J24</f>
        <v/>
      </c>
      <c r="K27" s="80" t="n"/>
      <c r="L27" s="43" t="n"/>
    </row>
    <row r="28" ht="19.9" customHeight="1" thickBot="1">
      <c r="C28" s="40" t="n"/>
      <c r="D28" s="41" t="inlineStr">
        <is>
          <t xml:space="preserve">Less Stablized Vacancy </t>
        </is>
      </c>
      <c r="E28" s="47" t="n">
        <v>0.03</v>
      </c>
      <c r="F28" s="101">
        <f>F26*E28</f>
        <v/>
      </c>
      <c r="H28" s="81" t="inlineStr">
        <is>
          <t>Contingency</t>
        </is>
      </c>
      <c r="I28" s="115" t="n">
        <v>0.05</v>
      </c>
      <c r="J28" s="106">
        <f>SUM(J24:J27)*I28</f>
        <v/>
      </c>
      <c r="K28" s="82" t="n"/>
      <c r="L28" s="48" t="n"/>
    </row>
    <row r="29" ht="19.9" customHeight="1" thickBot="1">
      <c r="C29" s="49" t="n"/>
      <c r="D29" s="50" t="n"/>
      <c r="E29" s="51" t="inlineStr">
        <is>
          <t>Effective Gross Income</t>
        </is>
      </c>
      <c r="F29" s="102">
        <f>F26-F28</f>
        <v/>
      </c>
      <c r="H29" s="83" t="n"/>
      <c r="I29" s="84" t="inlineStr">
        <is>
          <t>Total Development Cost</t>
        </is>
      </c>
      <c r="J29" s="107">
        <f>SUM(J23:J28)</f>
        <v/>
      </c>
      <c r="K29" s="85" t="n"/>
    </row>
    <row r="30" ht="19.9" customHeight="1">
      <c r="I30" s="1" t="n"/>
    </row>
    <row r="31" ht="19.9" customHeight="1">
      <c r="F31" s="52" t="inlineStr">
        <is>
          <t>(Less)</t>
        </is>
      </c>
      <c r="I31" s="2" t="inlineStr">
        <is>
          <t>Leads To:</t>
        </is>
      </c>
    </row>
    <row r="32" ht="19.9" customHeight="1" thickBot="1"/>
    <row r="33" ht="19.9" customHeight="1">
      <c r="C33" s="34" t="inlineStr">
        <is>
          <t>Total Operations Expenses</t>
        </is>
      </c>
      <c r="D33" s="10" t="n"/>
      <c r="E33" s="10" t="n"/>
      <c r="F33" s="36" t="n"/>
      <c r="H33" s="35" t="inlineStr">
        <is>
          <t>Capital Stack and Financing Calculations</t>
        </is>
      </c>
      <c r="I33" s="10" t="n"/>
      <c r="J33" s="10" t="n"/>
      <c r="K33" s="36" t="n"/>
    </row>
    <row r="34" ht="19.9" customHeight="1" thickBot="1">
      <c r="C34" s="53" t="n"/>
      <c r="D34" s="54" t="n"/>
      <c r="E34" s="55" t="n"/>
      <c r="F34" s="46" t="n"/>
      <c r="H34" s="39" t="inlineStr">
        <is>
          <t>Lender</t>
        </is>
      </c>
      <c r="I34" s="87" t="n">
        <v>0.8</v>
      </c>
      <c r="J34" s="72" t="inlineStr">
        <is>
          <t>LTC</t>
        </is>
      </c>
      <c r="K34" s="74" t="n"/>
      <c r="N34" s="56" t="n"/>
    </row>
    <row r="35" ht="19.9" customHeight="1" thickBot="1">
      <c r="C35" s="57" t="n"/>
      <c r="D35" s="58" t="inlineStr">
        <is>
          <t>Less Operating Expenses at:</t>
        </is>
      </c>
      <c r="E35" s="59" t="n">
        <v>0.22</v>
      </c>
      <c r="F35" s="103">
        <f>'Operational Expenses'!B19</f>
        <v/>
      </c>
      <c r="H35" s="67" t="inlineStr">
        <is>
          <t>Principal</t>
        </is>
      </c>
      <c r="I35" s="108">
        <f>J29*I34</f>
        <v/>
      </c>
      <c r="J35" s="88" t="n"/>
      <c r="K35" s="78" t="n"/>
    </row>
    <row r="36" ht="19.9" customHeight="1" thickBot="1">
      <c r="C36" s="49" t="n"/>
      <c r="D36" s="7" t="n"/>
      <c r="E36" s="51" t="n"/>
      <c r="F36" s="66" t="n"/>
      <c r="H36" s="68" t="inlineStr">
        <is>
          <t>Interest</t>
        </is>
      </c>
      <c r="I36" s="89" t="n">
        <v>0.08500000000000001</v>
      </c>
      <c r="J36" s="90" t="n"/>
      <c r="K36" s="80" t="n"/>
    </row>
    <row r="37" ht="19.9" customHeight="1">
      <c r="H37" s="68" t="inlineStr">
        <is>
          <t>Term (years)</t>
        </is>
      </c>
      <c r="I37" s="91" t="n">
        <v>10</v>
      </c>
      <c r="J37" s="92" t="inlineStr">
        <is>
          <t>Payment =</t>
        </is>
      </c>
      <c r="K37" s="109">
        <f>I35*I36</f>
        <v/>
      </c>
      <c r="N37" s="60" t="n"/>
    </row>
    <row r="38" ht="19.9" customHeight="1">
      <c r="H38" s="70" t="inlineStr">
        <is>
          <t>Investor</t>
        </is>
      </c>
      <c r="I38" s="389">
        <f>1-I34</f>
        <v/>
      </c>
      <c r="J38" s="90" t="inlineStr">
        <is>
          <t>% of total</t>
        </is>
      </c>
      <c r="K38" s="93" t="n"/>
    </row>
    <row r="39" ht="19.9" customHeight="1">
      <c r="D39" s="438" t="inlineStr">
        <is>
          <t>Obligation Ratio</t>
        </is>
      </c>
      <c r="E39" s="447" t="n"/>
      <c r="F39" s="117">
        <f>F42/K42</f>
        <v/>
      </c>
      <c r="H39" s="69" t="inlineStr">
        <is>
          <t>Principal</t>
        </is>
      </c>
      <c r="I39" s="108">
        <f>J29*I38</f>
        <v/>
      </c>
      <c r="J39" s="90" t="n"/>
      <c r="K39" s="80" t="n"/>
    </row>
    <row r="40" ht="19.9" customHeight="1" thickBot="1">
      <c r="D40" s="19" t="n"/>
      <c r="E40" s="437" t="inlineStr">
        <is>
          <t>Debt Service Coverage Ratio (DCSR)</t>
        </is>
      </c>
      <c r="F40" s="117">
        <f>F42/K37</f>
        <v/>
      </c>
      <c r="H40" s="71" t="inlineStr">
        <is>
          <t>Dividend Rate</t>
        </is>
      </c>
      <c r="I40" s="94" t="n">
        <v>0.1</v>
      </c>
      <c r="J40" s="95" t="inlineStr">
        <is>
          <t>Payment =</t>
        </is>
      </c>
      <c r="K40" s="110">
        <f>I39*I40</f>
        <v/>
      </c>
    </row>
    <row r="41" ht="19.9" customHeight="1" thickBot="1">
      <c r="I41" s="1" t="n"/>
    </row>
    <row r="42" ht="19.9" customHeight="1" thickBot="1">
      <c r="C42" s="61" t="n"/>
      <c r="D42" s="62" t="n"/>
      <c r="E42" s="63" t="inlineStr">
        <is>
          <t>Net Operating Income</t>
        </is>
      </c>
      <c r="F42" s="111">
        <f>F29-F35</f>
        <v/>
      </c>
      <c r="G42" s="19" t="inlineStr">
        <is>
          <t>COMPARE</t>
        </is>
      </c>
      <c r="H42" s="64" t="n"/>
      <c r="I42" s="62" t="n"/>
      <c r="J42" s="63" t="inlineStr">
        <is>
          <t>Annual Cost of Capital</t>
        </is>
      </c>
      <c r="K42" s="111">
        <f>SUM(K37, K40)</f>
        <v/>
      </c>
    </row>
    <row r="43" ht="19.9" customHeight="1">
      <c r="H43" s="10" t="n"/>
      <c r="I43" s="10" t="n"/>
      <c r="J43" s="10" t="n"/>
      <c r="K43" s="65" t="n"/>
    </row>
  </sheetData>
  <mergeCells count="2">
    <mergeCell ref="F20:F21"/>
    <mergeCell ref="D39:E39"/>
  </mergeCells>
  <pageMargins left="0.7" right="0.7" top="0.75" bottom="0.75" header="0.3" footer="0.3"/>
  <pageSetup orientation="landscape" scale="63" horizontalDpi="4294967292" verticalDpi="4294967292"/>
</worksheet>
</file>

<file path=xl/worksheets/sheet10.xml><?xml version="1.0" encoding="utf-8"?>
<worksheet xmlns="http://schemas.openxmlformats.org/spreadsheetml/2006/main">
  <sheetPr>
    <tabColor rgb="FF00B0F0"/>
    <outlinePr summaryBelow="1" summaryRight="1"/>
    <pageSetUpPr/>
  </sheetPr>
  <dimension ref="A1:D16"/>
  <sheetViews>
    <sheetView workbookViewId="0">
      <selection activeCell="B16" sqref="B16"/>
    </sheetView>
  </sheetViews>
  <sheetFormatPr baseColWidth="8" defaultRowHeight="15.5"/>
  <cols>
    <col width="38.58203125" bestFit="1" customWidth="1" min="1" max="1"/>
    <col width="10.83203125" bestFit="1" customWidth="1" style="278" min="2" max="2"/>
  </cols>
  <sheetData>
    <row r="1">
      <c r="A1" t="inlineStr">
        <is>
          <t xml:space="preserve">Lawyer </t>
        </is>
      </c>
      <c r="B1" s="278" t="n">
        <v>10000</v>
      </c>
    </row>
    <row r="2">
      <c r="A2" s="239" t="inlineStr">
        <is>
          <t>Environmental Analysis</t>
        </is>
      </c>
      <c r="B2" s="278" t="n">
        <v>10000</v>
      </c>
    </row>
    <row r="3">
      <c r="A3" s="287" t="inlineStr">
        <is>
          <t>Topographical Survey</t>
        </is>
      </c>
      <c r="B3" s="278" t="n">
        <v>5000</v>
      </c>
      <c r="C3" s="239" t="n"/>
      <c r="D3" s="242" t="n"/>
    </row>
    <row r="4">
      <c r="A4" t="inlineStr">
        <is>
          <t>Title</t>
        </is>
      </c>
      <c r="B4" s="278" t="n">
        <v>35855</v>
      </c>
      <c r="C4" s="239" t="n"/>
      <c r="D4" s="242" t="n"/>
    </row>
    <row r="5">
      <c r="A5" t="inlineStr">
        <is>
          <t>Construction Management (Staff)</t>
        </is>
      </c>
      <c r="B5" s="278" t="n">
        <v>50000</v>
      </c>
    </row>
    <row r="6">
      <c r="A6" t="inlineStr">
        <is>
          <t>Architect (Design Document Stage)</t>
        </is>
      </c>
      <c r="B6" s="278" t="n">
        <v>50000</v>
      </c>
    </row>
    <row r="7">
      <c r="A7" t="inlineStr">
        <is>
          <t>Structural Engineering</t>
        </is>
      </c>
      <c r="B7" s="278" t="n">
        <v>10000</v>
      </c>
    </row>
    <row r="8">
      <c r="A8" s="262" t="inlineStr">
        <is>
          <t>Permitting</t>
        </is>
      </c>
    </row>
    <row r="9">
      <c r="A9" s="239" t="inlineStr">
        <is>
          <t>Expediter/Code Consultant</t>
        </is>
      </c>
      <c r="B9" s="278">
        <f>'Cashflow Breakdown'!G58</f>
        <v/>
      </c>
    </row>
    <row r="10">
      <c r="A10" s="239" t="inlineStr">
        <is>
          <t>Permit fees</t>
        </is>
      </c>
      <c r="B10" s="278">
        <f>'Cashflow Breakdown'!G59</f>
        <v/>
      </c>
    </row>
    <row r="11">
      <c r="A11" s="240" t="inlineStr">
        <is>
          <t>Plans Exam Fee</t>
        </is>
      </c>
      <c r="B11" s="278">
        <f>'Cashflow Breakdown'!G60</f>
        <v/>
      </c>
    </row>
    <row r="12">
      <c r="A12" s="240" t="inlineStr">
        <is>
          <t>Demo Permit</t>
        </is>
      </c>
      <c r="B12" s="278">
        <f>'Cashflow Breakdown'!G61</f>
        <v/>
      </c>
    </row>
    <row r="13">
      <c r="A13" s="240" t="inlineStr">
        <is>
          <t>Misc DOB fees</t>
        </is>
      </c>
      <c r="B13" s="278">
        <f>'Cashflow Breakdown'!G63</f>
        <v/>
      </c>
    </row>
    <row r="14" ht="18.5" customHeight="1">
      <c r="A14" s="238" t="inlineStr">
        <is>
          <t>Subtotal DOB - Permitting</t>
        </is>
      </c>
      <c r="B14" s="278">
        <f>'Cashflow Breakdown'!G65</f>
        <v/>
      </c>
    </row>
    <row r="16">
      <c r="B16" s="288">
        <f>SUM(B1:B14)</f>
        <v/>
      </c>
    </row>
  </sheetData>
  <pageMargins left="0.7" right="0.7" top="0.75" bottom="0.75" header="0.3" footer="0.3"/>
  <pageSetup orientation="portrait"/>
</worksheet>
</file>

<file path=xl/worksheets/sheet11.xml><?xml version="1.0" encoding="utf-8"?>
<worksheet xmlns="http://schemas.openxmlformats.org/spreadsheetml/2006/main">
  <sheetPr>
    <tabColor rgb="FF00B0F0"/>
    <outlinePr summaryBelow="1" summaryRight="1"/>
    <pageSetUpPr/>
  </sheetPr>
  <dimension ref="A1:I21"/>
  <sheetViews>
    <sheetView workbookViewId="0">
      <selection activeCell="B21" sqref="B21"/>
    </sheetView>
  </sheetViews>
  <sheetFormatPr baseColWidth="8" defaultColWidth="8.75" defaultRowHeight="15.5"/>
  <cols>
    <col width="42.75" bestFit="1" customWidth="1" min="1" max="1"/>
    <col width="13.75" bestFit="1" customWidth="1" min="2" max="2"/>
    <col width="9.83203125" bestFit="1" customWidth="1" min="4" max="4"/>
    <col width="27" bestFit="1" customWidth="1" min="9" max="9"/>
  </cols>
  <sheetData>
    <row r="1">
      <c r="A1" s="262" t="inlineStr">
        <is>
          <t xml:space="preserve">Income </t>
        </is>
      </c>
      <c r="I1" s="262" t="n"/>
    </row>
    <row r="3">
      <c r="A3" t="inlineStr">
        <is>
          <t>Gross Scheduled Rent</t>
        </is>
      </c>
      <c r="B3" s="496">
        <f>'Construction Loan'!F26</f>
        <v/>
      </c>
      <c r="C3" s="497" t="n"/>
    </row>
    <row r="4">
      <c r="A4" t="inlineStr">
        <is>
          <t>Vacancy 3%</t>
        </is>
      </c>
      <c r="B4" s="496">
        <f>SUM(B3*0.03)</f>
        <v/>
      </c>
      <c r="C4" s="497" t="n"/>
    </row>
    <row r="6">
      <c r="A6" s="262" t="inlineStr">
        <is>
          <t>Expenses</t>
        </is>
      </c>
      <c r="B6" s="496" t="n"/>
      <c r="C6" s="497" t="n"/>
    </row>
    <row r="7">
      <c r="A7" t="inlineStr">
        <is>
          <t xml:space="preserve">Tax Abatement </t>
        </is>
      </c>
      <c r="B7" s="496" t="n">
        <v>0</v>
      </c>
      <c r="C7" s="497" t="n"/>
    </row>
    <row r="8">
      <c r="A8" t="inlineStr">
        <is>
          <t>Insurance</t>
        </is>
      </c>
      <c r="B8" s="496" t="n">
        <v>45000</v>
      </c>
    </row>
    <row r="9">
      <c r="A9" t="inlineStr">
        <is>
          <t>Utilities</t>
        </is>
      </c>
      <c r="B9" s="496" t="n">
        <v>50000</v>
      </c>
      <c r="C9" s="497" t="n"/>
    </row>
    <row r="10">
      <c r="A10" t="inlineStr">
        <is>
          <t>Trash Collection</t>
        </is>
      </c>
      <c r="B10" s="496" t="n">
        <v>12000</v>
      </c>
      <c r="C10" s="497" t="n"/>
    </row>
    <row r="11">
      <c r="A11" t="inlineStr">
        <is>
          <t>Management Fee 3.5%</t>
        </is>
      </c>
      <c r="B11" s="496">
        <f>SUM(B3*0.035)</f>
        <v/>
      </c>
      <c r="C11" s="497" t="n"/>
    </row>
    <row r="12">
      <c r="A12" t="inlineStr">
        <is>
          <t>Maintenance/Repairs/Service Contracts 3%</t>
        </is>
      </c>
      <c r="B12" s="496">
        <f>SUM(B3*0.03)</f>
        <v/>
      </c>
      <c r="C12" s="497" t="n"/>
    </row>
    <row r="13">
      <c r="A13" t="inlineStr">
        <is>
          <t>Water &amp; Sewer</t>
        </is>
      </c>
      <c r="B13" s="496" t="n">
        <v>67000</v>
      </c>
    </row>
    <row r="14">
      <c r="A14" t="inlineStr">
        <is>
          <t>Supertintendent $114/Mo/Unit</t>
        </is>
      </c>
      <c r="B14" s="498" t="n">
        <v>120384</v>
      </c>
      <c r="C14" s="497" t="n"/>
    </row>
    <row r="16">
      <c r="B16" s="497" t="n"/>
      <c r="C16" s="497" t="n"/>
    </row>
    <row r="17">
      <c r="B17" s="497" t="n"/>
      <c r="C17" s="497" t="n"/>
    </row>
    <row r="18">
      <c r="B18" s="275" t="n"/>
      <c r="C18" s="497" t="n"/>
    </row>
    <row r="19">
      <c r="A19" t="inlineStr">
        <is>
          <t>Total Expenses</t>
        </is>
      </c>
      <c r="B19" s="496">
        <f>SUM(B4:B14)</f>
        <v/>
      </c>
      <c r="C19" s="497" t="n"/>
      <c r="D19" s="278" t="n"/>
    </row>
    <row r="20">
      <c r="A20" t="inlineStr">
        <is>
          <t>Net Operating Income</t>
        </is>
      </c>
      <c r="B20" s="496">
        <f>SUM(B3-B19)</f>
        <v/>
      </c>
      <c r="C20" s="275" t="n"/>
    </row>
    <row r="21">
      <c r="C21" s="275" t="n"/>
    </row>
  </sheetData>
  <pageMargins left="0.7" right="0.7" top="0.75" bottom="0.75" header="0.3" footer="0.3"/>
  <pageSetup orientation="portrait"/>
</worksheet>
</file>

<file path=xl/worksheets/sheet12.xml><?xml version="1.0" encoding="utf-8"?>
<worksheet xmlns="http://schemas.openxmlformats.org/spreadsheetml/2006/main">
  <sheetPr>
    <tabColor theme="5"/>
    <outlinePr summaryBelow="1" summaryRight="1"/>
    <pageSetUpPr/>
  </sheetPr>
  <dimension ref="A1:B16"/>
  <sheetViews>
    <sheetView workbookViewId="0">
      <selection activeCell="B13" sqref="B13"/>
    </sheetView>
  </sheetViews>
  <sheetFormatPr baseColWidth="8" defaultColWidth="10.25" defaultRowHeight="15.75" customHeight="1"/>
  <cols>
    <col width="28.75" bestFit="1" customWidth="1" min="1" max="1"/>
    <col width="9.75" bestFit="1" customWidth="1" min="2" max="2"/>
    <col width="8.5" customWidth="1" min="5" max="5"/>
  </cols>
  <sheetData>
    <row r="1" ht="15.75" customHeight="1" thickBot="1">
      <c r="A1" s="122" t="inlineStr">
        <is>
          <t>PROJECT SUMMARY</t>
        </is>
      </c>
      <c r="B1" s="123" t="n"/>
    </row>
    <row r="2" ht="15.75" customHeight="1">
      <c r="A2" s="124" t="inlineStr">
        <is>
          <t>Gross Building SF (Square Foot)</t>
        </is>
      </c>
      <c r="B2" s="125">
        <f>'Construction Loan'!H17</f>
        <v/>
      </c>
    </row>
    <row r="3" ht="15.75" customHeight="1">
      <c r="A3" s="126" t="inlineStr">
        <is>
          <t>Resident NRSF (Net Rentable)</t>
        </is>
      </c>
      <c r="B3" s="125">
        <f>'Construction Loan'!D24</f>
        <v/>
      </c>
    </row>
    <row r="4" ht="15.75" customHeight="1">
      <c r="A4" s="127" t="inlineStr">
        <is>
          <t>Retail NRSF</t>
        </is>
      </c>
      <c r="B4" s="125">
        <f>'Construction Loan'!D23</f>
        <v/>
      </c>
    </row>
    <row r="5" ht="15.75" customHeight="1">
      <c r="A5" s="126" t="inlineStr">
        <is>
          <t>Residential Units</t>
        </is>
      </c>
      <c r="B5" s="128" t="inlineStr">
        <is>
          <t>442</t>
        </is>
      </c>
    </row>
    <row r="6" ht="15.75" customHeight="1">
      <c r="A6" s="127" t="inlineStr">
        <is>
          <t>Average Residential Unit Size (SF)</t>
        </is>
      </c>
      <c r="B6" s="406">
        <f>B3/B5</f>
        <v/>
      </c>
    </row>
    <row r="7" ht="15.75" customHeight="1">
      <c r="A7" s="129" t="inlineStr">
        <is>
          <t>LOAN REQUEST</t>
        </is>
      </c>
      <c r="B7" s="130" t="n"/>
    </row>
    <row r="8" ht="15.75" customHeight="1">
      <c r="A8" s="131" t="inlineStr">
        <is>
          <t>Total Cost Of Construction</t>
        </is>
      </c>
      <c r="B8" s="132" t="inlineStr">
        <is>
          <t>To calculate the Net Operating Income (NOI), we need the Annual Rent and any additional expenses associated with the property. However, based on the information provided in the Offering Memorandum, the NOI is not explicitly stated. Therefore, the NOI cannot be determined without further information and analysis. As a result, the NOI is 'NEEDS_REVIEW'.</t>
        </is>
      </c>
    </row>
    <row r="9" ht="15.75" customHeight="1">
      <c r="A9" s="127" t="inlineStr">
        <is>
          <t>Principal Loan Amount</t>
        </is>
      </c>
      <c r="B9" s="125">
        <f>'Construction Loan'!I35</f>
        <v/>
      </c>
    </row>
    <row r="10" ht="15.75" customHeight="1">
      <c r="A10" s="126" t="inlineStr">
        <is>
          <t>Equity LP Amount</t>
        </is>
      </c>
      <c r="B10" s="133">
        <f>'Construction Loan'!I39</f>
        <v/>
      </c>
    </row>
    <row r="11" ht="15.75" customHeight="1">
      <c r="A11" s="127" t="inlineStr">
        <is>
          <t>Stabilized Value (Year 5)</t>
        </is>
      </c>
      <c r="B11" s="125">
        <f>Analysis!K9</f>
        <v/>
      </c>
    </row>
    <row r="12" ht="15.75" customHeight="1">
      <c r="A12" s="126" t="inlineStr">
        <is>
          <t>Loan to Stablized Value</t>
        </is>
      </c>
      <c r="B12" s="134" t="inlineStr">
        <is>
          <t>5.00%</t>
        </is>
      </c>
    </row>
    <row r="13" ht="15.75" customHeight="1">
      <c r="A13" s="126" t="inlineStr">
        <is>
          <t>Stabilized NOI</t>
        </is>
      </c>
      <c r="B13" s="125">
        <f>'Construction Loan'!F42</f>
        <v/>
      </c>
    </row>
    <row r="14" ht="15.75" customHeight="1">
      <c r="A14" s="135" t="inlineStr">
        <is>
          <t>Debt Yield Stablized (DYS)</t>
        </is>
      </c>
      <c r="B14" s="136">
        <f>B13/B9</f>
        <v/>
      </c>
    </row>
    <row r="15" ht="15.75" customHeight="1">
      <c r="A15" s="135" t="inlineStr">
        <is>
          <t>Investor IRR</t>
        </is>
      </c>
      <c r="B15" s="136" t="inlineStr">
        <is>
          <t>$25,000</t>
        </is>
      </c>
    </row>
    <row r="16" ht="15.75" customHeight="1" thickBot="1">
      <c r="A16" s="137" t="inlineStr">
        <is>
          <t>DSCR</t>
        </is>
      </c>
      <c r="B16" s="138">
        <f>'Construction Loan'!F40</f>
        <v/>
      </c>
    </row>
  </sheetData>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t="inlineStr">
        <is>
          <t>Unit Type</t>
        </is>
      </c>
      <c r="B1" t="inlineStr">
        <is>
          <t>Unit Count</t>
        </is>
      </c>
      <c r="C1" t="inlineStr">
        <is>
          <t>Avg SF</t>
        </is>
      </c>
      <c r="D1" t="inlineStr">
        <is>
          <t>Monthly Rent</t>
        </is>
      </c>
      <c r="E1" t="inlineStr">
        <is>
          <t>Rent/SF</t>
        </is>
      </c>
    </row>
    <row r="2">
      <c r="A2" t="inlineStr"/>
      <c r="B2" t="inlineStr">
        <is>
          <t>737 N 
LaSalle</t>
        </is>
      </c>
      <c r="C2" t="inlineStr"/>
    </row>
    <row r="3">
      <c r="A3" t="inlineStr">
        <is>
          <t>One Chicago Square
A 740 million mixed-use 
complex anchored by two 
tall &amp; thin skyscrapers rising 
to a height of up to 1011 
feet. Could be Chicago’s 
sixth-tallest skyscraper.</t>
        </is>
      </c>
      <c r="B3" t="inlineStr"/>
      <c r="C3" t="inlineStr"/>
    </row>
    <row r="4">
      <c r="A4" t="inlineStr"/>
      <c r="B4" t="inlineStr"/>
      <c r="C4" t="inlineStr">
        <is>
          <t>750 N Dearborn
33-floor 384-unit 
apartment complex
Built: 1981</t>
        </is>
      </c>
    </row>
    <row r="5">
      <c r="A5" t="inlineStr"/>
      <c r="B5" t="inlineStr">
        <is>
          <t>One Chicago Square
Expected to cost more than 700 million the two-tower project would 
occupy the block just west of Holy Name at State and Superior streets 
and include 900 apartments and condominiums a health club and spa 
and a grocery store. It would be one of the biggest housing projects 
ever built in downtown Chicago with one tower rising 76 stories and 
the other rising 45.
A  developer  took  the  wraps  of  its  ambitious  plan  to  turn  the  large 
parking lot across from Chicago’s Holy Name Cathedral in River North 
into a 740 million mixed-use complex anchored by two very tall and 
thin skyscrapers. Rising to a height of up to 1011 feet the taller of the 
pair would become the Windy City’s sixth tallest building if approved 
and constructed as proposed.
Renderings of One Chicago Square</t>
        </is>
      </c>
      <c r="C5" t="inlineStr"/>
      <c r="D5" t="inlineStr"/>
      <c r="E5" t="inlineStr"/>
    </row>
    <row r="6">
      <c r="A6" t="inlineStr"/>
      <c r="B6" t="inlineStr"/>
      <c r="C6" t="inlineStr"/>
      <c r="D6" t="inlineStr">
        <is>
          <t>STREAM Capital Partners | 13</t>
        </is>
      </c>
      <c r="E6" t="inlineStr"/>
    </row>
  </sheetData>
  <pageMargins left="0.75" right="0.75" top="1" bottom="1" header="0.5" footer="0.5"/>
</worksheet>
</file>

<file path=xl/worksheets/sheet2.xml><?xml version="1.0" encoding="utf-8"?>
<worksheet xmlns="http://schemas.openxmlformats.org/spreadsheetml/2006/main">
  <sheetPr>
    <tabColor rgb="FF00B0F0"/>
    <outlinePr summaryBelow="1" summaryRight="1"/>
    <pageSetUpPr fitToPage="1"/>
  </sheetPr>
  <dimension ref="B1:P43"/>
  <sheetViews>
    <sheetView showGridLines="0" tabSelected="1" zoomScale="90" zoomScaleNormal="90" workbookViewId="0">
      <selection activeCell="B2" sqref="B2"/>
    </sheetView>
  </sheetViews>
  <sheetFormatPr baseColWidth="8" defaultColWidth="9.75" defaultRowHeight="15.5"/>
  <cols>
    <col width="1.5" customWidth="1" style="1" min="1" max="1"/>
    <col width="6.75" customWidth="1" style="1" min="2" max="2"/>
    <col width="20.58203125" customWidth="1" style="1" min="3" max="3"/>
    <col width="14.33203125" customWidth="1" style="2" min="4" max="4"/>
    <col width="23.58203125" customWidth="1" style="3" min="5" max="5"/>
    <col width="17.25" customWidth="1" style="6" min="6" max="6"/>
    <col width="24.75" customWidth="1" style="1" min="7" max="7"/>
    <col width="16.75" customWidth="1" style="1" min="8" max="8"/>
    <col width="17.5" customWidth="1" style="8" min="9" max="9"/>
    <col width="15.75" customWidth="1" style="1" min="10" max="10"/>
    <col width="18.25" customWidth="1" style="1" min="11" max="11"/>
    <col width="10.75" customWidth="1" style="1" min="12" max="12"/>
    <col width="10.08203125" bestFit="1" customWidth="1" style="1" min="13" max="13"/>
    <col width="13.25" customWidth="1" style="1" min="14" max="14"/>
    <col width="23.75" customWidth="1" style="1" min="15" max="15"/>
    <col width="9.75" customWidth="1" style="1" min="16" max="16"/>
    <col width="12" customWidth="1" style="1" min="17" max="17"/>
    <col width="9.75" customWidth="1" style="1" min="18" max="16384"/>
  </cols>
  <sheetData>
    <row r="1" ht="20" customHeight="1">
      <c r="B1" s="116" t="inlineStr">
        <is>
          <t>354 Clarkson Feasibility</t>
        </is>
      </c>
      <c r="F1" s="6" t="n"/>
      <c r="I1" s="1" t="n"/>
      <c r="M1" s="230" t="n"/>
      <c r="N1" s="230" t="n"/>
      <c r="O1" s="230" t="n"/>
      <c r="P1" s="230" t="n"/>
    </row>
    <row r="2" ht="16" customHeight="1" thickBot="1">
      <c r="G2" s="7" t="n"/>
    </row>
    <row r="3">
      <c r="B3" s="96" t="n"/>
      <c r="C3" s="1" t="inlineStr">
        <is>
          <t>Data input cells</t>
        </is>
      </c>
      <c r="E3" s="9" t="inlineStr">
        <is>
          <t>FIT TEST</t>
        </is>
      </c>
      <c r="F3" s="10" t="n"/>
      <c r="G3" s="11" t="inlineStr">
        <is>
          <t>Elevation Space Diagram</t>
        </is>
      </c>
      <c r="H3" s="10" t="n"/>
      <c r="I3" s="12" t="n"/>
      <c r="J3" s="13" t="n"/>
    </row>
    <row r="4">
      <c r="B4" s="97" t="n"/>
      <c r="C4" s="1" t="inlineStr">
        <is>
          <t xml:space="preserve">Calculated cells </t>
        </is>
      </c>
      <c r="E4" s="14" t="n"/>
      <c r="F4" s="15" t="n"/>
      <c r="H4" s="16" t="n"/>
      <c r="I4" s="16" t="n"/>
      <c r="J4" s="17" t="n"/>
    </row>
    <row r="5">
      <c r="E5" s="18" t="inlineStr">
        <is>
          <t>Floor</t>
        </is>
      </c>
      <c r="F5" s="19" t="inlineStr">
        <is>
          <t>Floor to Floor</t>
        </is>
      </c>
      <c r="G5" s="19" t="inlineStr">
        <is>
          <t xml:space="preserve">Type of </t>
        </is>
      </c>
      <c r="H5" s="20" t="inlineStr">
        <is>
          <t>Gross</t>
        </is>
      </c>
      <c r="I5" s="20" t="inlineStr">
        <is>
          <t>Efficiency</t>
        </is>
      </c>
      <c r="J5" s="21" t="inlineStr">
        <is>
          <t>Leasable</t>
        </is>
      </c>
    </row>
    <row r="6">
      <c r="E6" s="22" t="inlineStr">
        <is>
          <t>Number</t>
        </is>
      </c>
      <c r="F6" s="23" t="inlineStr">
        <is>
          <t>Height</t>
        </is>
      </c>
      <c r="G6" s="23" t="inlineStr">
        <is>
          <t>Space</t>
        </is>
      </c>
      <c r="H6" s="24" t="inlineStr">
        <is>
          <t>Area (SF)</t>
        </is>
      </c>
      <c r="I6" s="24" t="inlineStr">
        <is>
          <t>Factor</t>
        </is>
      </c>
      <c r="J6" s="25" t="inlineStr">
        <is>
          <t>Area @</t>
        </is>
      </c>
    </row>
    <row r="7">
      <c r="E7" s="14" t="n"/>
      <c r="F7" s="8" t="n"/>
      <c r="H7" s="230" t="n"/>
      <c r="I7" s="16" t="n"/>
      <c r="J7" s="26" t="n"/>
      <c r="O7" s="230" t="n"/>
    </row>
    <row r="8" ht="16" customHeight="1" thickBot="1">
      <c r="E8" s="14" t="n">
        <v>8</v>
      </c>
      <c r="F8" s="8" t="n">
        <v>10</v>
      </c>
      <c r="G8" s="27" t="inlineStr">
        <is>
          <t>Apartments</t>
        </is>
      </c>
      <c r="H8" s="230" t="n">
        <v>20700</v>
      </c>
      <c r="I8" s="113" t="n">
        <v>0.82</v>
      </c>
      <c r="J8" s="112">
        <f>H8*I8</f>
        <v/>
      </c>
      <c r="O8" s="230" t="n"/>
    </row>
    <row r="9" ht="16" customHeight="1" thickBot="1">
      <c r="E9" s="14" t="n">
        <v>7</v>
      </c>
      <c r="F9" s="8" t="n">
        <v>10</v>
      </c>
      <c r="G9" s="27" t="inlineStr">
        <is>
          <t>Apartments</t>
        </is>
      </c>
      <c r="H9" s="230" t="n">
        <v>20700</v>
      </c>
      <c r="I9" s="113" t="n">
        <v>0.82</v>
      </c>
      <c r="J9" s="112">
        <f>H9*I9</f>
        <v/>
      </c>
      <c r="O9" s="230" t="n"/>
    </row>
    <row r="10" ht="16" customHeight="1" thickBot="1">
      <c r="E10" s="14" t="n">
        <v>6</v>
      </c>
      <c r="F10" s="8" t="n">
        <v>10</v>
      </c>
      <c r="G10" s="27" t="inlineStr">
        <is>
          <t>Apartments</t>
        </is>
      </c>
      <c r="H10" s="230" t="n">
        <v>20700</v>
      </c>
      <c r="I10" s="113" t="n">
        <v>0.82</v>
      </c>
      <c r="J10" s="112">
        <f>H10*I10</f>
        <v/>
      </c>
      <c r="O10" s="230" t="n"/>
    </row>
    <row r="11" ht="16" customHeight="1" thickBot="1">
      <c r="E11" s="14" t="n">
        <v>5</v>
      </c>
      <c r="F11" s="8" t="n">
        <v>10</v>
      </c>
      <c r="G11" s="27" t="inlineStr">
        <is>
          <t>Apartments</t>
        </is>
      </c>
      <c r="H11" s="230" t="n">
        <v>20700</v>
      </c>
      <c r="I11" s="113" t="n">
        <v>0.82</v>
      </c>
      <c r="J11" s="112">
        <f>H11*I11</f>
        <v/>
      </c>
      <c r="O11" s="230" t="n"/>
    </row>
    <row r="12" ht="19.9" customHeight="1" thickBot="1">
      <c r="E12" s="14" t="n">
        <v>4</v>
      </c>
      <c r="F12" s="8" t="n">
        <v>10</v>
      </c>
      <c r="G12" s="27" t="inlineStr">
        <is>
          <t>Apartments</t>
        </is>
      </c>
      <c r="H12" s="230" t="n">
        <v>20700</v>
      </c>
      <c r="I12" s="113" t="n">
        <v>0.82</v>
      </c>
      <c r="J12" s="112">
        <f>H12*I12</f>
        <v/>
      </c>
      <c r="O12" s="230" t="n"/>
    </row>
    <row r="13" ht="16" customHeight="1" thickBot="1">
      <c r="E13" s="14" t="n">
        <v>3</v>
      </c>
      <c r="F13" s="8" t="n">
        <v>10</v>
      </c>
      <c r="G13" s="27" t="inlineStr">
        <is>
          <t>Apartments</t>
        </is>
      </c>
      <c r="H13" s="230" t="n">
        <v>20700</v>
      </c>
      <c r="I13" s="113" t="n">
        <v>0.82</v>
      </c>
      <c r="J13" s="112">
        <f>H13*I13</f>
        <v/>
      </c>
      <c r="O13" s="230" t="n"/>
    </row>
    <row r="14" ht="16" customHeight="1" thickBot="1">
      <c r="E14" s="14" t="n">
        <v>2</v>
      </c>
      <c r="F14" s="8" t="n">
        <v>10</v>
      </c>
      <c r="G14" s="27" t="inlineStr">
        <is>
          <t>Apartments</t>
        </is>
      </c>
      <c r="H14" s="230" t="n">
        <v>20700</v>
      </c>
      <c r="I14" s="113" t="n">
        <v>0.82</v>
      </c>
      <c r="J14" s="112">
        <f>H14*I14</f>
        <v/>
      </c>
      <c r="O14" s="230" t="n"/>
    </row>
    <row r="15" ht="16" customHeight="1" thickBot="1">
      <c r="E15" s="28" t="n">
        <v>1</v>
      </c>
      <c r="F15" s="29" t="n">
        <v>10</v>
      </c>
      <c r="G15" s="27" t="inlineStr">
        <is>
          <t>Retail</t>
        </is>
      </c>
      <c r="H15" s="230" t="n">
        <v>20700</v>
      </c>
      <c r="I15" s="113" t="n">
        <v>0.82</v>
      </c>
      <c r="J15" s="112">
        <f>H15*I15</f>
        <v/>
      </c>
      <c r="O15" s="230" t="n"/>
    </row>
    <row r="16" ht="16" customHeight="1" thickBot="1">
      <c r="E16" s="30" t="n">
        <v>-1</v>
      </c>
      <c r="F16" s="13" t="n">
        <v>25</v>
      </c>
      <c r="G16" s="31" t="inlineStr">
        <is>
          <t>Parking</t>
        </is>
      </c>
      <c r="H16" s="32" t="n">
        <v>20700</v>
      </c>
      <c r="I16" s="121" t="n">
        <v>0.58</v>
      </c>
      <c r="J16" s="112">
        <f>H16*I16</f>
        <v/>
      </c>
      <c r="O16" s="230" t="n"/>
    </row>
    <row r="17" ht="16" customHeight="1" thickBot="1">
      <c r="E17" s="28" t="n"/>
      <c r="F17" s="29" t="n"/>
      <c r="G17" s="7" t="n"/>
      <c r="H17" s="385">
        <f>SUM(H7:H16)</f>
        <v/>
      </c>
      <c r="I17" s="86" t="n"/>
      <c r="J17" s="386">
        <f>SUM(J8:J16)</f>
        <v/>
      </c>
      <c r="N17" s="230" t="n"/>
    </row>
    <row r="19" ht="16" customHeight="1" thickBot="1">
      <c r="C19" s="33" t="n"/>
    </row>
    <row r="20" ht="19.9" customHeight="1" thickBot="1">
      <c r="C20" s="34" t="inlineStr">
        <is>
          <t>Effective Gross Income</t>
        </is>
      </c>
      <c r="D20" s="10" t="n"/>
      <c r="E20" s="10" t="n"/>
      <c r="F20" s="442" t="inlineStr">
        <is>
          <t>Potential Gross Income</t>
        </is>
      </c>
      <c r="H20" s="35" t="inlineStr">
        <is>
          <t>Total Development Cost</t>
        </is>
      </c>
      <c r="I20" s="10" t="n"/>
      <c r="J20" s="10" t="n"/>
      <c r="K20" s="36" t="n"/>
    </row>
    <row r="21" ht="19.9" customHeight="1" thickBot="1">
      <c r="C21" s="37" t="inlineStr">
        <is>
          <t>Space</t>
        </is>
      </c>
      <c r="D21" s="38" t="inlineStr">
        <is>
          <t>SF</t>
        </is>
      </c>
      <c r="E21" s="38" t="inlineStr">
        <is>
          <t>Rate per Sq Ft.</t>
        </is>
      </c>
      <c r="F21" s="443" t="n"/>
      <c r="H21" s="310">
        <f>H17</f>
        <v/>
      </c>
      <c r="I21" s="72" t="inlineStr">
        <is>
          <t xml:space="preserve"> Gross Area SF @</t>
        </is>
      </c>
      <c r="J21" s="73" t="n">
        <v>280</v>
      </c>
      <c r="K21" s="74" t="inlineStr">
        <is>
          <t>$/SF</t>
        </is>
      </c>
    </row>
    <row r="22" ht="19.9" customHeight="1">
      <c r="C22" s="39" t="inlineStr">
        <is>
          <t>Parking/Storage</t>
        </is>
      </c>
      <c r="D22" s="340">
        <f>J16</f>
        <v/>
      </c>
      <c r="E22" s="444" t="n">
        <v>48.82</v>
      </c>
      <c r="F22" s="98">
        <f>D22*E22</f>
        <v/>
      </c>
      <c r="H22" s="75" t="n"/>
      <c r="I22" s="76" t="inlineStr">
        <is>
          <t>Sub-Total Construction =</t>
        </is>
      </c>
      <c r="J22" s="104">
        <f>SUM(H17*J21)</f>
        <v/>
      </c>
      <c r="K22" s="77" t="n"/>
    </row>
    <row r="23" ht="19.9" customHeight="1">
      <c r="C23" s="337" t="inlineStr">
        <is>
          <t>Retail</t>
        </is>
      </c>
      <c r="D23" s="339">
        <f>J16</f>
        <v/>
      </c>
      <c r="E23" s="445" t="n">
        <v>50</v>
      </c>
      <c r="F23" s="98">
        <f>D23*E23</f>
        <v/>
      </c>
      <c r="H23" s="118" t="inlineStr">
        <is>
          <t>Property Acquistion</t>
        </is>
      </c>
      <c r="I23" s="119" t="n"/>
      <c r="J23" s="120" t="n">
        <v>10000000</v>
      </c>
      <c r="K23" s="74" t="n"/>
    </row>
    <row r="24" ht="19.9" customHeight="1">
      <c r="C24" s="235" t="inlineStr">
        <is>
          <t>Apartment</t>
        </is>
      </c>
      <c r="D24" s="338">
        <f>SUM(J8:J15)</f>
        <v/>
      </c>
      <c r="E24" s="445" t="n">
        <v>45.51</v>
      </c>
      <c r="F24" s="98">
        <f>D24*E24</f>
        <v/>
      </c>
      <c r="H24" s="79" t="inlineStr">
        <is>
          <t>Construction</t>
        </is>
      </c>
      <c r="I24" s="114" t="inlineStr">
        <is>
          <t>Hard Cost</t>
        </is>
      </c>
      <c r="J24" s="105">
        <f>J22</f>
        <v/>
      </c>
      <c r="K24" s="80" t="n"/>
      <c r="L24" s="43" t="n"/>
    </row>
    <row r="25" ht="19.9" customHeight="1">
      <c r="C25" s="422" t="n"/>
      <c r="D25" s="423" t="n"/>
      <c r="E25" s="446" t="n"/>
      <c r="F25" s="234" t="n"/>
      <c r="H25" s="79" t="inlineStr">
        <is>
          <t>Mortgage Cost</t>
        </is>
      </c>
      <c r="I25" s="114" t="n">
        <v>0.04</v>
      </c>
      <c r="J25" s="105">
        <f>SUM(J23:J24,J26,J27)*I25</f>
        <v/>
      </c>
      <c r="K25" s="80" t="n"/>
      <c r="L25" s="43" t="n"/>
    </row>
    <row r="26" ht="19.9" customHeight="1">
      <c r="C26" s="42" t="inlineStr">
        <is>
          <t xml:space="preserve">Total </t>
        </is>
      </c>
      <c r="D26" s="100">
        <f>SUM(D22:D24)</f>
        <v/>
      </c>
      <c r="E26" s="44" t="inlineStr">
        <is>
          <t>Gross revenues</t>
        </is>
      </c>
      <c r="F26" s="99">
        <f>SUM(F22:F24)</f>
        <v/>
      </c>
      <c r="H26" s="79" t="inlineStr">
        <is>
          <t>Soft Costs</t>
        </is>
      </c>
      <c r="I26" s="114" t="n"/>
      <c r="J26" s="105">
        <f>'Soft Costs'!D23</f>
        <v/>
      </c>
      <c r="K26" s="80" t="n"/>
      <c r="L26" s="43" t="n"/>
    </row>
    <row r="27" ht="19.9" customHeight="1" thickBot="1">
      <c r="C27" s="42" t="n"/>
      <c r="D27" s="45" t="n"/>
      <c r="E27" s="44" t="n"/>
      <c r="F27" s="341" t="n"/>
      <c r="H27" s="79" t="inlineStr">
        <is>
          <t>FF&amp;E</t>
        </is>
      </c>
      <c r="I27" s="343" t="n">
        <v>0.01</v>
      </c>
      <c r="J27" s="105">
        <f>I27*J24</f>
        <v/>
      </c>
      <c r="K27" s="80" t="n"/>
      <c r="L27" s="43" t="n"/>
    </row>
    <row r="28" ht="19.9" customHeight="1" thickBot="1">
      <c r="C28" s="40" t="n"/>
      <c r="D28" s="41" t="inlineStr">
        <is>
          <t xml:space="preserve">Less Stablized Vacancy </t>
        </is>
      </c>
      <c r="E28" s="47" t="n">
        <v>0.03</v>
      </c>
      <c r="F28" s="101">
        <f>F26*E28</f>
        <v/>
      </c>
      <c r="H28" s="81" t="inlineStr">
        <is>
          <t>Contingency</t>
        </is>
      </c>
      <c r="I28" s="115" t="n">
        <v>0.05</v>
      </c>
      <c r="J28" s="106">
        <f>SUM(J24:J27)*I28</f>
        <v/>
      </c>
      <c r="K28" s="82" t="n"/>
      <c r="L28" s="48" t="n"/>
    </row>
    <row r="29" ht="19.9" customHeight="1" thickBot="1">
      <c r="C29" s="49" t="n"/>
      <c r="D29" s="50" t="n"/>
      <c r="E29" s="51" t="inlineStr">
        <is>
          <t>Effective Gross Income</t>
        </is>
      </c>
      <c r="F29" s="102">
        <f>F26-F28</f>
        <v/>
      </c>
      <c r="H29" s="83" t="n"/>
      <c r="I29" s="84" t="inlineStr">
        <is>
          <t>Total Development Cost</t>
        </is>
      </c>
      <c r="J29" s="107">
        <f>SUM(J23:J28)</f>
        <v/>
      </c>
      <c r="K29" s="85" t="n"/>
    </row>
    <row r="30" ht="19.9" customHeight="1">
      <c r="I30" s="1" t="n"/>
    </row>
    <row r="31" ht="19.9" customHeight="1">
      <c r="F31" s="52" t="inlineStr">
        <is>
          <t>(Less)</t>
        </is>
      </c>
      <c r="I31" s="2" t="inlineStr">
        <is>
          <t>Leads To:</t>
        </is>
      </c>
    </row>
    <row r="32" ht="19.9" customHeight="1" thickBot="1"/>
    <row r="33" ht="19.9" customHeight="1">
      <c r="C33" s="34" t="inlineStr">
        <is>
          <t>Total Operations Expenses</t>
        </is>
      </c>
      <c r="D33" s="10" t="n"/>
      <c r="E33" s="10" t="n"/>
      <c r="F33" s="36" t="n"/>
      <c r="H33" s="35" t="inlineStr">
        <is>
          <t>Capital Stack and Financing Calculations</t>
        </is>
      </c>
      <c r="I33" s="10" t="n"/>
      <c r="J33" s="10" t="n"/>
      <c r="K33" s="36" t="n"/>
    </row>
    <row r="34" ht="19.9" customHeight="1" thickBot="1">
      <c r="C34" s="53" t="n"/>
      <c r="D34" s="54" t="n"/>
      <c r="E34" s="55" t="n"/>
      <c r="F34" s="46" t="n"/>
      <c r="H34" s="39" t="inlineStr">
        <is>
          <t>Lender</t>
        </is>
      </c>
      <c r="I34" s="87" t="n">
        <v>0.7</v>
      </c>
      <c r="J34" s="72" t="inlineStr">
        <is>
          <t>LTC</t>
        </is>
      </c>
      <c r="K34" s="74" t="n"/>
      <c r="N34" s="56" t="n"/>
    </row>
    <row r="35" ht="19.9" customHeight="1" thickBot="1">
      <c r="C35" s="57" t="n"/>
      <c r="D35" s="58" t="inlineStr">
        <is>
          <t>Less Operating Expenses at:</t>
        </is>
      </c>
      <c r="E35" s="59" t="n">
        <v>0.22</v>
      </c>
      <c r="F35" s="103">
        <f>'Operational Expenses'!B19</f>
        <v/>
      </c>
      <c r="H35" s="67" t="inlineStr">
        <is>
          <t>Principal</t>
        </is>
      </c>
      <c r="I35" s="108">
        <f>F42/0.05*I34</f>
        <v/>
      </c>
      <c r="J35" s="88" t="n"/>
      <c r="K35" s="78" t="n"/>
    </row>
    <row r="36" ht="19.9" customHeight="1" thickBot="1">
      <c r="C36" s="49" t="n"/>
      <c r="D36" s="7" t="n"/>
      <c r="E36" s="51" t="n"/>
      <c r="F36" s="66" t="n"/>
      <c r="H36" s="68" t="inlineStr">
        <is>
          <t>Interest</t>
        </is>
      </c>
      <c r="I36" s="89" t="n">
        <v>0.055</v>
      </c>
      <c r="J36" s="90" t="n"/>
      <c r="K36" s="80" t="n"/>
    </row>
    <row r="37" ht="19.9" customHeight="1">
      <c r="H37" s="68" t="inlineStr">
        <is>
          <t>Term (years)</t>
        </is>
      </c>
      <c r="I37" s="91" t="n">
        <v>35</v>
      </c>
      <c r="J37" s="92" t="inlineStr">
        <is>
          <t>Payment =</t>
        </is>
      </c>
      <c r="K37" s="109">
        <f>PMT((I36/12),I37*12,-I35,0,1)*12</f>
        <v/>
      </c>
      <c r="N37" s="60" t="n"/>
    </row>
    <row r="38" ht="19.9" customHeight="1">
      <c r="H38" s="70" t="inlineStr">
        <is>
          <t>Investor</t>
        </is>
      </c>
      <c r="I38" s="389">
        <f>1-I34</f>
        <v/>
      </c>
      <c r="J38" s="90" t="inlineStr">
        <is>
          <t>% of total</t>
        </is>
      </c>
      <c r="K38" s="93" t="n"/>
    </row>
    <row r="39" ht="19.9" customHeight="1">
      <c r="D39" s="438" t="inlineStr">
        <is>
          <t>Obligation Ratio</t>
        </is>
      </c>
      <c r="E39" s="447" t="n"/>
      <c r="F39" s="117">
        <f>F42/K42</f>
        <v/>
      </c>
      <c r="H39" s="69" t="inlineStr">
        <is>
          <t>Principal</t>
        </is>
      </c>
      <c r="I39" s="108">
        <f>J29-I35</f>
        <v/>
      </c>
      <c r="J39" s="90" t="n"/>
      <c r="K39" s="80" t="n"/>
    </row>
    <row r="40" ht="19.9" customHeight="1" thickBot="1">
      <c r="D40" s="19" t="n"/>
      <c r="E40" s="437" t="inlineStr">
        <is>
          <t>Debt Service Coverage Ratio (DCSR)</t>
        </is>
      </c>
      <c r="F40" s="117">
        <f>F42/K37</f>
        <v/>
      </c>
      <c r="H40" s="71" t="inlineStr">
        <is>
          <t>Dividend Rate</t>
        </is>
      </c>
      <c r="I40" s="94" t="n">
        <v>0.1</v>
      </c>
      <c r="J40" s="95" t="inlineStr">
        <is>
          <t>Payment =</t>
        </is>
      </c>
      <c r="K40" s="110">
        <f>I39*I40</f>
        <v/>
      </c>
    </row>
    <row r="41" ht="19.9" customHeight="1" thickBot="1">
      <c r="I41" s="1" t="n"/>
    </row>
    <row r="42" ht="19.9" customHeight="1" thickBot="1">
      <c r="C42" s="61" t="n"/>
      <c r="D42" s="62" t="n"/>
      <c r="E42" s="63" t="inlineStr">
        <is>
          <t>Net Operating Income</t>
        </is>
      </c>
      <c r="F42" s="111">
        <f>F29-F35</f>
        <v/>
      </c>
      <c r="G42" s="19" t="inlineStr">
        <is>
          <t>COMPARE</t>
        </is>
      </c>
      <c r="H42" s="64" t="n"/>
      <c r="I42" s="62" t="n"/>
      <c r="J42" s="63" t="inlineStr">
        <is>
          <t>Annual Cost of Capital</t>
        </is>
      </c>
      <c r="K42" s="111">
        <f>SUM(K37, K40)</f>
        <v/>
      </c>
    </row>
    <row r="43" ht="19.9" customHeight="1">
      <c r="H43" s="10" t="n"/>
      <c r="I43" s="10" t="n"/>
      <c r="J43" s="10" t="n"/>
      <c r="K43" s="65" t="n"/>
    </row>
  </sheetData>
  <mergeCells count="2">
    <mergeCell ref="F20:F21"/>
    <mergeCell ref="D39:E39"/>
  </mergeCells>
  <pageMargins left="0.7" right="0.7" top="0.75" bottom="0.75" header="0.3" footer="0.3"/>
  <pageSetup orientation="landscape" scale="63" horizontalDpi="4294967292" verticalDpi="4294967292"/>
</worksheet>
</file>

<file path=xl/worksheets/sheet3.xml><?xml version="1.0" encoding="utf-8"?>
<worksheet xmlns="http://schemas.openxmlformats.org/spreadsheetml/2006/main">
  <sheetPr>
    <tabColor rgb="FF00B0F0"/>
    <outlinePr summaryBelow="1" summaryRight="1"/>
    <pageSetUpPr fitToPage="1"/>
  </sheetPr>
  <dimension ref="B1:Q87"/>
  <sheetViews>
    <sheetView topLeftCell="A13" workbookViewId="0">
      <selection activeCell="D49" sqref="D49"/>
    </sheetView>
  </sheetViews>
  <sheetFormatPr baseColWidth="8" defaultColWidth="7.75" defaultRowHeight="12.5"/>
  <cols>
    <col width="2.25" customWidth="1" style="139" min="1" max="1"/>
    <col width="33.25" customWidth="1" style="139" min="2" max="2"/>
    <col width="13.75" bestFit="1" customWidth="1" style="139" min="3" max="3"/>
    <col width="11" customWidth="1" style="139" min="4" max="4"/>
    <col width="11.75" customWidth="1" style="139" min="5" max="5"/>
    <col width="12.25" customWidth="1" style="139" min="6" max="6"/>
    <col width="12.08203125" bestFit="1" customWidth="1" style="139" min="7" max="7"/>
    <col width="12.25" bestFit="1" customWidth="1" style="139" min="8" max="9"/>
    <col width="16" customWidth="1" style="139" min="10" max="10"/>
    <col width="14.25" customWidth="1" style="139" min="11" max="11"/>
    <col width="10.25" customWidth="1" style="139" min="12" max="12"/>
    <col width="7.75" customWidth="1" style="139" min="13" max="13"/>
    <col width="9.25" customWidth="1" style="139" min="14" max="14"/>
    <col width="7.75" customWidth="1" style="139" min="15" max="15"/>
    <col width="11.75" customWidth="1" style="139" min="16" max="16"/>
    <col width="7.75" customWidth="1" style="139" min="17" max="18"/>
    <col width="11.25" customWidth="1" style="139" min="19" max="19"/>
    <col width="7.75" customWidth="1" style="139" min="20" max="16384"/>
  </cols>
  <sheetData>
    <row r="1" ht="15.5" customHeight="1">
      <c r="B1" s="229" t="n"/>
      <c r="K1" s="155" t="n"/>
      <c r="L1" s="228" t="n"/>
    </row>
    <row r="2" ht="16" customHeight="1" thickBot="1">
      <c r="B2" s="227" t="inlineStr">
        <is>
          <t>Project Name</t>
        </is>
      </c>
      <c r="C2" s="227" t="inlineStr">
        <is>
          <t>Assumptions</t>
        </is>
      </c>
      <c r="D2" s="225" t="n"/>
      <c r="E2" s="225" t="n"/>
      <c r="F2" s="225" t="n"/>
      <c r="G2" s="226" t="n"/>
      <c r="H2" s="225" t="n"/>
      <c r="I2" s="225" t="n"/>
      <c r="J2" s="225" t="n"/>
      <c r="K2" s="225" t="n"/>
      <c r="L2" s="225" t="n"/>
    </row>
    <row r="3">
      <c r="B3" s="155" t="inlineStr">
        <is>
          <t>Crown Heights</t>
        </is>
      </c>
      <c r="G3" s="155" t="n"/>
    </row>
    <row r="4">
      <c r="B4" s="162" t="n"/>
      <c r="C4" s="173" t="n"/>
      <c r="D4" s="199" t="n"/>
      <c r="E4" s="199" t="n"/>
      <c r="F4" s="201" t="inlineStr">
        <is>
          <t>Gross Rent</t>
        </is>
      </c>
      <c r="G4" s="201" t="inlineStr">
        <is>
          <t>Variable OE</t>
        </is>
      </c>
      <c r="H4" s="155" t="n"/>
      <c r="I4" s="224" t="n"/>
      <c r="J4" s="155" t="inlineStr">
        <is>
          <t>Retail Uses</t>
        </is>
      </c>
    </row>
    <row r="5" ht="13" customHeight="1">
      <c r="B5" s="223" t="inlineStr">
        <is>
          <t>Space Assumptions</t>
        </is>
      </c>
      <c r="C5" s="140" t="n"/>
      <c r="D5" s="157" t="inlineStr">
        <is>
          <t>Project Cost</t>
        </is>
      </c>
      <c r="E5" s="222" t="n"/>
      <c r="F5" s="197" t="inlineStr">
        <is>
          <t>Per NSF-Yr. 1</t>
        </is>
      </c>
      <c r="G5" s="197" t="inlineStr">
        <is>
          <t>Per NSF-Yr. 1</t>
        </is>
      </c>
      <c r="I5" s="221" t="n"/>
      <c r="J5" s="155" t="inlineStr">
        <is>
          <t>Basement Storage</t>
        </is>
      </c>
    </row>
    <row r="6" ht="15.5" customHeight="1">
      <c r="B6" s="218" t="inlineStr">
        <is>
          <t xml:space="preserve">  Prime Ground Floor Retail Space</t>
        </is>
      </c>
      <c r="D6" s="448" t="n">
        <v>225</v>
      </c>
      <c r="E6" s="155" t="inlineStr">
        <is>
          <t>per Gross SF</t>
        </is>
      </c>
      <c r="F6" s="449" t="n">
        <v>50</v>
      </c>
      <c r="G6" s="450">
        <f>F6*'Construction Loan'!$E$35</f>
        <v/>
      </c>
      <c r="I6" s="219" t="n"/>
      <c r="J6" s="155" t="inlineStr">
        <is>
          <t>Apartment Uses</t>
        </is>
      </c>
    </row>
    <row r="7" ht="15.5" customHeight="1">
      <c r="B7" s="216" t="inlineStr">
        <is>
          <t xml:space="preserve">  Parking Garage</t>
        </is>
      </c>
      <c r="D7" s="451" t="n">
        <v>225</v>
      </c>
      <c r="E7" s="155" t="inlineStr">
        <is>
          <t>per GSF</t>
        </is>
      </c>
      <c r="F7" s="452" t="n">
        <v>20</v>
      </c>
      <c r="G7" s="450">
        <f>F7*'Construction Loan'!$E$35</f>
        <v/>
      </c>
      <c r="I7" s="217" t="n"/>
      <c r="J7" s="155" t="inlineStr">
        <is>
          <t>Parking Garage</t>
        </is>
      </c>
    </row>
    <row r="8">
      <c r="B8" s="404" t="inlineStr">
        <is>
          <t xml:space="preserve">  Basement Storage</t>
        </is>
      </c>
      <c r="D8" s="451" t="n">
        <v>200</v>
      </c>
      <c r="E8" s="155" t="inlineStr">
        <is>
          <t>per GSF</t>
        </is>
      </c>
      <c r="F8" s="452" t="n">
        <v>24</v>
      </c>
      <c r="G8" s="450">
        <f>F8*'Construction Loan'!$E$35</f>
        <v/>
      </c>
      <c r="I8" s="370" t="n"/>
      <c r="J8" s="155" t="inlineStr">
        <is>
          <t>Blue cells are inputs</t>
        </is>
      </c>
    </row>
    <row r="9">
      <c r="B9" s="214">
        <f>CONCATENATE(B34," - ",F34," NSF each")</f>
        <v/>
      </c>
      <c r="D9" s="451" t="n">
        <v>290</v>
      </c>
      <c r="E9" s="155" t="inlineStr">
        <is>
          <t>per GSF</t>
        </is>
      </c>
      <c r="F9" s="453" t="n">
        <v>47</v>
      </c>
      <c r="G9" s="450">
        <f>F9*'Construction Loan'!$E$35</f>
        <v/>
      </c>
      <c r="I9" s="215" t="n"/>
      <c r="J9" s="155" t="inlineStr">
        <is>
          <t>Green Cells are fixed but need to be specified</t>
        </is>
      </c>
    </row>
    <row r="10" ht="15.5" customHeight="1">
      <c r="B10" s="214">
        <f>CONCATENATE(B35," - ",F35," NSF each")</f>
        <v/>
      </c>
      <c r="D10" s="451" t="n">
        <v>285</v>
      </c>
      <c r="E10" s="155" t="inlineStr">
        <is>
          <t>per GSF</t>
        </is>
      </c>
      <c r="F10" s="453" t="n">
        <v>45</v>
      </c>
      <c r="G10" s="450">
        <f>F10*'Construction Loan'!$E$35</f>
        <v/>
      </c>
      <c r="I10" s="213" t="n"/>
      <c r="J10" s="155" t="inlineStr">
        <is>
          <t>White Cells are calculations</t>
        </is>
      </c>
    </row>
    <row r="11">
      <c r="B11" s="214">
        <f>CONCATENATE(B36," - ",F36," NSF each")</f>
        <v/>
      </c>
      <c r="D11" s="451" t="n">
        <v>280</v>
      </c>
      <c r="E11" s="155" t="inlineStr">
        <is>
          <t>per GSF</t>
        </is>
      </c>
      <c r="F11" s="453" t="n">
        <v>42</v>
      </c>
      <c r="G11" s="450">
        <f>F11*'Construction Loan'!$E$35</f>
        <v/>
      </c>
    </row>
    <row r="12">
      <c r="B12" s="214">
        <f>CONCATENATE(B37," - ",F37," NSF each")</f>
        <v/>
      </c>
      <c r="D12" s="451" t="n">
        <v>270</v>
      </c>
      <c r="E12" s="155" t="inlineStr">
        <is>
          <t>per GSF</t>
        </is>
      </c>
      <c r="F12" s="453" t="n">
        <v>40</v>
      </c>
      <c r="G12" s="450">
        <f>F12*'Construction Loan'!$E$35</f>
        <v/>
      </c>
    </row>
    <row r="13">
      <c r="B13" s="214" t="inlineStr">
        <is>
          <t xml:space="preserve"> Laundromat &amp; Misc</t>
        </is>
      </c>
      <c r="D13" s="451" t="n">
        <v>300</v>
      </c>
      <c r="E13" s="142" t="inlineStr">
        <is>
          <t>per GSF</t>
        </is>
      </c>
      <c r="F13" s="454" t="n">
        <v>18</v>
      </c>
      <c r="G13" s="455">
        <f>0.05*F13</f>
        <v/>
      </c>
    </row>
    <row r="14" ht="15.5" customHeight="1">
      <c r="B14" s="155" t="inlineStr">
        <is>
          <t xml:space="preserve">  Land, Specialy Costs &amp; Soft Costs irrespective of use mix</t>
        </is>
      </c>
      <c r="D14" s="352">
        <f>SUM('Construction Loan'!J23,'Construction Loan'!#REF!:'Construction Loan'!J26)</f>
        <v/>
      </c>
      <c r="E14" s="155" t="inlineStr">
        <is>
          <t>for the project</t>
        </is>
      </c>
    </row>
    <row r="15">
      <c r="B15" s="155" t="inlineStr">
        <is>
          <t xml:space="preserve">  FF&amp;E + Contingency</t>
        </is>
      </c>
      <c r="D15" s="353">
        <f>SUM('Construction Loan'!J27,'Construction Loan'!J28)</f>
        <v/>
      </c>
      <c r="E15" s="155" t="n"/>
    </row>
    <row r="16">
      <c r="B16" s="155" t="inlineStr">
        <is>
          <t xml:space="preserve">  Fixed Operating Expenses - Year 1 irrespective of use</t>
        </is>
      </c>
      <c r="D16" s="456">
        <f>'Construction Loan'!F35</f>
        <v/>
      </c>
      <c r="E16" s="155" t="inlineStr">
        <is>
          <t>for the project</t>
        </is>
      </c>
      <c r="H16" s="457" t="n"/>
    </row>
    <row r="17">
      <c r="B17" s="155" t="n"/>
      <c r="C17" s="155" t="n"/>
      <c r="D17" s="212" t="n"/>
      <c r="E17" s="155" t="n"/>
    </row>
    <row r="18">
      <c r="B18" s="199" t="n"/>
      <c r="C18" s="211" t="inlineStr">
        <is>
          <t>Prime</t>
        </is>
      </c>
      <c r="D18" s="210" t="inlineStr">
        <is>
          <t>Basement</t>
        </is>
      </c>
      <c r="E18" s="209" t="inlineStr">
        <is>
          <t>Parking</t>
        </is>
      </c>
      <c r="F18" s="205" t="inlineStr">
        <is>
          <t>Studio</t>
        </is>
      </c>
      <c r="G18" s="205" t="inlineStr">
        <is>
          <t>1 BR-Apt</t>
        </is>
      </c>
      <c r="H18" s="205" t="inlineStr">
        <is>
          <t>2 BR-Apt</t>
        </is>
      </c>
      <c r="I18" s="205" t="inlineStr">
        <is>
          <t>3 BR-Apt</t>
        </is>
      </c>
      <c r="J18" s="201" t="inlineStr">
        <is>
          <t xml:space="preserve">Total Space </t>
        </is>
      </c>
      <c r="K18" s="201" t="inlineStr">
        <is>
          <t>Total Gross</t>
        </is>
      </c>
      <c r="L18" s="155" t="n"/>
      <c r="M18" s="155" t="n"/>
      <c r="N18" s="155" t="n"/>
    </row>
    <row r="19" ht="13" customHeight="1">
      <c r="B19" s="198" t="inlineStr">
        <is>
          <t>Space Mix in NSF (GSF in column L)</t>
        </is>
      </c>
      <c r="C19" s="208" t="inlineStr">
        <is>
          <t>Retail</t>
        </is>
      </c>
      <c r="D19" s="207" t="inlineStr">
        <is>
          <t>Storage</t>
        </is>
      </c>
      <c r="E19" s="206" t="inlineStr">
        <is>
          <t>Garage</t>
        </is>
      </c>
      <c r="F19" s="458">
        <f>C34</f>
        <v/>
      </c>
      <c r="G19" s="458">
        <f>C35</f>
        <v/>
      </c>
      <c r="H19" s="459">
        <f>C36</f>
        <v/>
      </c>
      <c r="I19" s="458">
        <f>C37</f>
        <v/>
      </c>
      <c r="J19" s="197" t="inlineStr">
        <is>
          <t>Allowed (NSF)</t>
        </is>
      </c>
      <c r="K19" s="197" t="inlineStr">
        <is>
          <t>SF (GSF)</t>
        </is>
      </c>
      <c r="M19" s="155" t="n"/>
      <c r="N19" s="155" t="n"/>
    </row>
    <row r="20" ht="15.5" customHeight="1">
      <c r="B20" s="179" t="inlineStr">
        <is>
          <t xml:space="preserve">  Parking Garage</t>
        </is>
      </c>
      <c r="C20" s="355" t="n">
        <v>0</v>
      </c>
      <c r="D20" s="356" t="n">
        <v>0</v>
      </c>
      <c r="E20" s="356">
        <f>'Construction Loan'!D22</f>
        <v/>
      </c>
      <c r="F20" s="356" t="n"/>
      <c r="G20" s="356" t="n">
        <v>0</v>
      </c>
      <c r="H20" s="356" t="n">
        <v>0</v>
      </c>
      <c r="I20" s="356" t="n"/>
      <c r="J20" s="204">
        <f>SUM(C20:I20)</f>
        <v/>
      </c>
      <c r="K20" s="204">
        <f>'Construction Loan'!H16</f>
        <v/>
      </c>
      <c r="M20" s="155" t="n"/>
      <c r="N20" s="155" t="n"/>
      <c r="P20" s="382" t="n"/>
    </row>
    <row r="21" ht="15.5" customHeight="1">
      <c r="B21" s="178" t="inlineStr">
        <is>
          <t xml:space="preserve">  Ground Floor Retail</t>
        </is>
      </c>
      <c r="C21" s="357">
        <f>'Construction Loan'!D23</f>
        <v/>
      </c>
      <c r="D21" s="358" t="n">
        <v>0</v>
      </c>
      <c r="E21" s="358" t="n">
        <v>0</v>
      </c>
      <c r="F21" s="358" t="n"/>
      <c r="G21" s="358" t="n">
        <v>0</v>
      </c>
      <c r="H21" s="358" t="n">
        <v>0</v>
      </c>
      <c r="I21" s="358" t="n"/>
      <c r="J21" s="204">
        <f>SUM(C21:I21)</f>
        <v/>
      </c>
      <c r="K21" s="204">
        <f>'Construction Loan'!H15</f>
        <v/>
      </c>
      <c r="N21" s="155" t="n"/>
      <c r="P21" s="457" t="n"/>
    </row>
    <row r="22" ht="15.5" customHeight="1">
      <c r="B22" s="178" t="inlineStr">
        <is>
          <t xml:space="preserve">  Laundromat/Storage/Retail Cellar</t>
        </is>
      </c>
      <c r="C22" s="357" t="n"/>
      <c r="D22" s="358">
        <f>'Construction Loan'!#REF!</f>
        <v/>
      </c>
      <c r="E22" s="358" t="n"/>
      <c r="F22" s="358" t="n"/>
      <c r="G22" s="358" t="n"/>
      <c r="H22" s="358" t="n"/>
      <c r="I22" s="358" t="n"/>
      <c r="J22" s="204">
        <f>SUM(C22:I22)</f>
        <v/>
      </c>
      <c r="K22" s="204">
        <f>'Construction Loan'!#REF!</f>
        <v/>
      </c>
      <c r="N22" s="155" t="n"/>
      <c r="P22" s="457" t="n"/>
    </row>
    <row r="23" ht="15.5" customHeight="1">
      <c r="B23" s="178" t="inlineStr">
        <is>
          <t xml:space="preserve">  1-8 Floors</t>
        </is>
      </c>
      <c r="C23" s="359" t="n">
        <v>0</v>
      </c>
      <c r="D23" s="360" t="n">
        <v>0</v>
      </c>
      <c r="E23" s="360" t="n">
        <v>0</v>
      </c>
      <c r="F23" s="360">
        <f>'Construction Loan'!$D$24*F19</f>
        <v/>
      </c>
      <c r="G23" s="360">
        <f>'Construction Loan'!$D$24*G19</f>
        <v/>
      </c>
      <c r="H23" s="360">
        <f>'Construction Loan'!$D$24*H19</f>
        <v/>
      </c>
      <c r="I23" s="360">
        <f>'Construction Loan'!$D$24*I19</f>
        <v/>
      </c>
      <c r="J23" s="204">
        <f>SUM(C23:I23)</f>
        <v/>
      </c>
      <c r="K23" s="388">
        <f>SUM('Construction Loan'!H8:H14)</f>
        <v/>
      </c>
    </row>
    <row r="24" ht="13" customHeight="1">
      <c r="B24" s="144" t="inlineStr">
        <is>
          <t xml:space="preserve">  Total  Area</t>
        </is>
      </c>
      <c r="C24" s="188">
        <f>SUM(C21:C21)</f>
        <v/>
      </c>
      <c r="D24" s="188">
        <f>SUM(D20:D23)</f>
        <v/>
      </c>
      <c r="E24" s="188">
        <f>SUM(E20:E23)</f>
        <v/>
      </c>
      <c r="F24" s="188">
        <f>SUM(F20:F23)</f>
        <v/>
      </c>
      <c r="G24" s="188">
        <f>SUM(G20:G23)</f>
        <v/>
      </c>
      <c r="H24" s="188">
        <f>SUM(H20:H23)</f>
        <v/>
      </c>
      <c r="I24" s="188">
        <f>SUM(I20:I23)</f>
        <v/>
      </c>
      <c r="J24" s="204">
        <f>SUM(C24:I24)</f>
        <v/>
      </c>
      <c r="K24" s="388">
        <f>SUM(K20:K23)</f>
        <v/>
      </c>
      <c r="L24" s="202" t="n"/>
    </row>
    <row r="25" ht="15.5" customHeight="1">
      <c r="B25" s="144" t="inlineStr">
        <is>
          <t xml:space="preserve">  Cost Estimate</t>
        </is>
      </c>
      <c r="C25" s="185">
        <f>C21/(J21/K21)*D6</f>
        <v/>
      </c>
      <c r="D25" s="185">
        <f>D24/(J22/K22)*D8</f>
        <v/>
      </c>
      <c r="E25" s="185">
        <f>E24/(J20/K20)*D7</f>
        <v/>
      </c>
      <c r="F25" s="185">
        <f>F23/(J23/K23)*D9</f>
        <v/>
      </c>
      <c r="G25" s="185">
        <f>G23/(J23/K23)*D10</f>
        <v/>
      </c>
      <c r="H25" s="185">
        <f>H23/(J23/K23)*D11</f>
        <v/>
      </c>
      <c r="I25" s="185">
        <f>I23/(J23/K23)*D12</f>
        <v/>
      </c>
      <c r="J25" s="188" t="n"/>
      <c r="K25" s="403">
        <f>SUM(C25:I25)</f>
        <v/>
      </c>
    </row>
    <row r="26">
      <c r="B26" s="144" t="inlineStr">
        <is>
          <t xml:space="preserve">  Add: Infrastructure</t>
        </is>
      </c>
      <c r="J26" s="169" t="n"/>
      <c r="K26" s="236">
        <f>$D$14+$D$15</f>
        <v/>
      </c>
    </row>
    <row r="27">
      <c r="B27" s="144" t="inlineStr">
        <is>
          <t xml:space="preserve">  Equals: Total Cost</t>
        </is>
      </c>
      <c r="J27" s="169" t="n"/>
      <c r="K27" s="236">
        <f>(K25+K26)</f>
        <v/>
      </c>
    </row>
    <row r="28" ht="15.5" customHeight="1">
      <c r="B28" s="142" t="inlineStr">
        <is>
          <t xml:space="preserve">  Total Cost per NSF/GSF</t>
        </is>
      </c>
      <c r="C28" s="141" t="n"/>
      <c r="D28" s="141" t="n"/>
      <c r="E28" s="141" t="n"/>
      <c r="F28" s="141" t="n"/>
      <c r="G28" s="141" t="n"/>
      <c r="H28" s="141" t="n"/>
      <c r="I28" s="140" t="n"/>
      <c r="J28" s="460">
        <f>K27/J24</f>
        <v/>
      </c>
      <c r="K28" s="460">
        <f>K27/K24</f>
        <v/>
      </c>
    </row>
    <row r="29" ht="15.5" customHeight="1">
      <c r="B29" s="155" t="n"/>
      <c r="P29" s="1" t="n"/>
      <c r="Q29" s="1" t="n"/>
    </row>
    <row r="30" ht="15.5" customHeight="1">
      <c r="B30" s="179" t="n"/>
      <c r="C30" s="200" t="n"/>
      <c r="D30" s="200" t="n"/>
      <c r="E30" s="200" t="n"/>
      <c r="F30" s="201" t="inlineStr">
        <is>
          <t>Net Sq. Ft.</t>
        </is>
      </c>
      <c r="G30" s="200" t="inlineStr">
        <is>
          <t>Annual</t>
        </is>
      </c>
      <c r="H30" s="200" t="inlineStr">
        <is>
          <t>Monthly Rent</t>
        </is>
      </c>
      <c r="I30" s="200" t="inlineStr">
        <is>
          <t>Potential</t>
        </is>
      </c>
      <c r="J30" s="199" t="n"/>
      <c r="P30" s="1" t="n"/>
      <c r="Q30" s="1" t="n"/>
    </row>
    <row r="31" ht="15.5" customHeight="1">
      <c r="B31" s="198" t="inlineStr">
        <is>
          <t>Rent Roll</t>
        </is>
      </c>
      <c r="C31" s="426" t="inlineStr">
        <is>
          <t>Residential Mix</t>
        </is>
      </c>
      <c r="D31" s="196" t="inlineStr">
        <is>
          <t>Quantity</t>
        </is>
      </c>
      <c r="E31" s="197" t="inlineStr">
        <is>
          <t>Units or NSF</t>
        </is>
      </c>
      <c r="F31" s="197" t="inlineStr">
        <is>
          <t>Per Apt. Unit</t>
        </is>
      </c>
      <c r="G31" s="197" t="inlineStr">
        <is>
          <t>Rent per NSF</t>
        </is>
      </c>
      <c r="H31" s="196" t="inlineStr">
        <is>
          <t>per Apt. Unit</t>
        </is>
      </c>
      <c r="I31" s="197" t="inlineStr">
        <is>
          <t>Gross Income</t>
        </is>
      </c>
      <c r="J31" s="196" t="inlineStr">
        <is>
          <t>Variable OE</t>
        </is>
      </c>
      <c r="P31" s="1" t="n"/>
      <c r="Q31" s="1" t="n"/>
    </row>
    <row r="32" ht="15.5" customHeight="1">
      <c r="B32" s="179" t="inlineStr">
        <is>
          <t xml:space="preserve">  Ground Floor Retail Space</t>
        </is>
      </c>
      <c r="D32" s="195">
        <f>C21</f>
        <v/>
      </c>
      <c r="E32" s="193" t="inlineStr">
        <is>
          <t>NSF</t>
        </is>
      </c>
      <c r="F32" s="193" t="inlineStr">
        <is>
          <t>N/A</t>
        </is>
      </c>
      <c r="G32" s="461" t="n">
        <v>55</v>
      </c>
      <c r="H32" s="193" t="inlineStr">
        <is>
          <t>N/A</t>
        </is>
      </c>
      <c r="I32" s="192">
        <f>G32*D32</f>
        <v/>
      </c>
      <c r="J32" s="191">
        <f>D32*G6</f>
        <v/>
      </c>
      <c r="P32" s="1" t="n"/>
      <c r="Q32" s="1" t="n"/>
    </row>
    <row r="33" ht="15.5" customHeight="1">
      <c r="B33" s="178" t="inlineStr">
        <is>
          <t xml:space="preserve">  Parking Garage </t>
        </is>
      </c>
      <c r="D33" s="189">
        <f>E24</f>
        <v/>
      </c>
      <c r="E33" s="187" t="inlineStr">
        <is>
          <t>NSF</t>
        </is>
      </c>
      <c r="F33" s="187" t="inlineStr">
        <is>
          <t>N/A</t>
        </is>
      </c>
      <c r="G33" s="462" t="n">
        <v>48.82</v>
      </c>
      <c r="H33" s="187" t="inlineStr">
        <is>
          <t>N/A</t>
        </is>
      </c>
      <c r="I33" s="185">
        <f>G33*D33</f>
        <v/>
      </c>
      <c r="J33" s="184">
        <f>D33*G7</f>
        <v/>
      </c>
    </row>
    <row r="34" ht="15.5" customHeight="1">
      <c r="B34" s="178" t="inlineStr">
        <is>
          <t xml:space="preserve">  Studio Apartment</t>
        </is>
      </c>
      <c r="C34" s="361" t="n">
        <v>0.2</v>
      </c>
      <c r="D34" s="362" t="n">
        <v>24</v>
      </c>
      <c r="E34" s="187" t="inlineStr">
        <is>
          <t>NSF</t>
        </is>
      </c>
      <c r="F34" s="405">
        <f>ROUND(F24/D34,0)</f>
        <v/>
      </c>
      <c r="G34" s="462" t="n">
        <v>45.51</v>
      </c>
      <c r="H34" s="463" t="n">
        <v>2126</v>
      </c>
      <c r="I34" s="185">
        <f>H34*D34*12</f>
        <v/>
      </c>
      <c r="J34" s="184">
        <f>F24*G9</f>
        <v/>
      </c>
      <c r="L34" s="188" t="n"/>
    </row>
    <row r="35" ht="15.5" customHeight="1">
      <c r="B35" s="178" t="inlineStr">
        <is>
          <t xml:space="preserve">  One-Bedroom Apartment</t>
        </is>
      </c>
      <c r="C35" s="361" t="n">
        <v>0.6</v>
      </c>
      <c r="D35" s="362" t="n">
        <v>52</v>
      </c>
      <c r="E35" s="187" t="inlineStr">
        <is>
          <t>Units</t>
        </is>
      </c>
      <c r="F35" s="405">
        <f>ROUND(G24/D35,0)</f>
        <v/>
      </c>
      <c r="G35" s="462" t="n">
        <v>45.51</v>
      </c>
      <c r="H35" s="464" t="n">
        <v>2642</v>
      </c>
      <c r="I35" s="185">
        <f>H35*D35*12</f>
        <v/>
      </c>
      <c r="J35" s="184">
        <f>G24*G10</f>
        <v/>
      </c>
      <c r="L35" s="188" t="n"/>
    </row>
    <row r="36" ht="15.5" customHeight="1">
      <c r="B36" s="178" t="inlineStr">
        <is>
          <t xml:space="preserve">  Two-Bedroom Apartment</t>
        </is>
      </c>
      <c r="C36" s="361" t="n">
        <v>0.08</v>
      </c>
      <c r="D36" s="362" t="n">
        <v>6</v>
      </c>
      <c r="E36" s="187" t="inlineStr">
        <is>
          <t>Units</t>
        </is>
      </c>
      <c r="F36" s="405">
        <f>ROUND(H24/D36,0)</f>
        <v/>
      </c>
      <c r="G36" s="462" t="n">
        <v>45.51</v>
      </c>
      <c r="H36" s="464" t="n">
        <v>3163</v>
      </c>
      <c r="I36" s="185">
        <f>H36*D36*12</f>
        <v/>
      </c>
      <c r="J36" s="184">
        <f>H24*G11</f>
        <v/>
      </c>
      <c r="L36" s="188" t="n"/>
    </row>
    <row r="37" ht="15.5" customHeight="1">
      <c r="B37" s="178" t="inlineStr">
        <is>
          <t xml:space="preserve"> Three-Bedroom Apartment</t>
        </is>
      </c>
      <c r="C37" s="368" t="n">
        <v>0.12</v>
      </c>
      <c r="D37" s="427" t="n">
        <v>6</v>
      </c>
      <c r="E37" s="187" t="inlineStr">
        <is>
          <t>Units</t>
        </is>
      </c>
      <c r="F37" s="405">
        <f>ROUND(I24/D37,0)</f>
        <v/>
      </c>
      <c r="G37" s="462" t="n">
        <v>45.51</v>
      </c>
      <c r="H37" s="464" t="n">
        <v>3630</v>
      </c>
      <c r="I37" s="185">
        <f>H37*D37*12</f>
        <v/>
      </c>
      <c r="J37" s="184">
        <f>I24*G12</f>
        <v/>
      </c>
      <c r="L37" s="188" t="n"/>
    </row>
    <row r="38" ht="15.5" customHeight="1">
      <c r="B38" s="178" t="inlineStr">
        <is>
          <t xml:space="preserve"> Misc. (Laundromat, Cable, Storage)</t>
        </is>
      </c>
      <c r="C38" s="428" t="n"/>
      <c r="E38" s="187" t="n"/>
      <c r="F38" s="187" t="n"/>
      <c r="G38" s="465" t="n"/>
      <c r="I38" s="432">
        <f>'Construction Loan'!#REF!</f>
        <v/>
      </c>
      <c r="J38" s="184" t="n"/>
      <c r="L38" s="188" t="n"/>
    </row>
    <row r="39" ht="15.5" customHeight="1">
      <c r="B39" s="181" t="inlineStr">
        <is>
          <t xml:space="preserve"> Total</t>
        </is>
      </c>
      <c r="C39" s="430">
        <f>SUM(C35:C38)</f>
        <v/>
      </c>
      <c r="D39" s="431">
        <f>SUM(D34:D37)</f>
        <v/>
      </c>
      <c r="E39" s="176" t="n"/>
      <c r="F39" s="151" t="n"/>
      <c r="G39" s="466" t="n"/>
      <c r="H39" s="151" t="n"/>
      <c r="I39" s="432">
        <f>SUM(I32:I38)</f>
        <v/>
      </c>
      <c r="J39" s="150" t="n">
        <v>0</v>
      </c>
    </row>
    <row r="40">
      <c r="B40" s="222" t="n"/>
    </row>
    <row r="41" ht="12.75" customHeight="1">
      <c r="B41" s="181" t="inlineStr">
        <is>
          <t>Market Environment</t>
        </is>
      </c>
      <c r="C41" s="180" t="inlineStr">
        <is>
          <t>Year 1</t>
        </is>
      </c>
      <c r="D41" s="180" t="inlineStr">
        <is>
          <t>Year 2</t>
        </is>
      </c>
      <c r="E41" s="180" t="inlineStr">
        <is>
          <t>Year 3</t>
        </is>
      </c>
      <c r="F41" s="180" t="inlineStr">
        <is>
          <t>Year 4</t>
        </is>
      </c>
      <c r="G41" s="180" t="inlineStr">
        <is>
          <t>Year 5</t>
        </is>
      </c>
      <c r="H41" s="180" t="inlineStr">
        <is>
          <t>Year 6</t>
        </is>
      </c>
    </row>
    <row r="42">
      <c r="B42" s="179" t="inlineStr">
        <is>
          <t xml:space="preserve">  Annual Rental and Revenue Growth</t>
        </is>
      </c>
      <c r="C42" s="374" t="n">
        <v>0.03</v>
      </c>
      <c r="D42" s="374" t="n">
        <v>0.03</v>
      </c>
      <c r="E42" s="374" t="n">
        <v>0.03</v>
      </c>
      <c r="F42" s="374" t="n">
        <v>0.03</v>
      </c>
      <c r="G42" s="374" t="n">
        <v>0.03</v>
      </c>
      <c r="H42" s="376" t="n">
        <v>0.03</v>
      </c>
    </row>
    <row r="43">
      <c r="B43" s="178" t="inlineStr">
        <is>
          <t xml:space="preserve">  Annual Expense Growth</t>
        </is>
      </c>
      <c r="C43" s="371" t="n">
        <v>0.03</v>
      </c>
      <c r="D43" s="371" t="n">
        <v>0.03</v>
      </c>
      <c r="E43" s="371" t="n">
        <v>0.03</v>
      </c>
      <c r="F43" s="371" t="n">
        <v>0.03</v>
      </c>
      <c r="G43" s="371" t="n">
        <v>0.03</v>
      </c>
      <c r="H43" s="377" t="n">
        <v>0.03</v>
      </c>
    </row>
    <row r="44">
      <c r="B44" s="178" t="inlineStr">
        <is>
          <t xml:space="preserve">  Vacancy and Collection Losses</t>
        </is>
      </c>
      <c r="C44" s="371" t="n">
        <v>0.1</v>
      </c>
      <c r="D44" s="371" t="n">
        <v>0.05</v>
      </c>
      <c r="E44" s="375">
        <f>'Construction Loan'!E28</f>
        <v/>
      </c>
      <c r="F44" s="375">
        <f>E44</f>
        <v/>
      </c>
      <c r="G44" s="375">
        <f>F44</f>
        <v/>
      </c>
      <c r="H44" s="375">
        <f>G44</f>
        <v/>
      </c>
    </row>
    <row r="45">
      <c r="B45" s="157" t="inlineStr">
        <is>
          <t xml:space="preserve">  Replacement Reserves - Percent of EGI</t>
        </is>
      </c>
      <c r="C45" s="372" t="n">
        <v>0.01</v>
      </c>
      <c r="D45" s="372" t="n">
        <v>0.02</v>
      </c>
      <c r="E45" s="372" t="n">
        <v>0.02</v>
      </c>
      <c r="F45" s="372" t="n">
        <v>0.02</v>
      </c>
      <c r="G45" s="372" t="n">
        <v>0.02</v>
      </c>
      <c r="H45" s="373" t="n">
        <v>0.02</v>
      </c>
    </row>
    <row r="47" ht="12.75" customHeight="1">
      <c r="B47" s="152" t="inlineStr">
        <is>
          <t>Financing and Amortization Schedule</t>
        </is>
      </c>
      <c r="C47" s="151" t="n"/>
      <c r="D47" s="151" t="n"/>
      <c r="E47" s="150" t="n"/>
      <c r="F47" s="467" t="inlineStr">
        <is>
          <t>Amortization Schedule</t>
        </is>
      </c>
      <c r="G47" s="177" t="inlineStr">
        <is>
          <t>End of Year</t>
        </is>
      </c>
      <c r="H47" s="176" t="inlineStr">
        <is>
          <t>Interest</t>
        </is>
      </c>
      <c r="I47" s="176" t="inlineStr">
        <is>
          <t>Princ. Amort.</t>
        </is>
      </c>
      <c r="J47" s="175" t="inlineStr">
        <is>
          <t>Ending Bal</t>
        </is>
      </c>
    </row>
    <row r="48">
      <c r="B48" s="174" t="inlineStr">
        <is>
          <t xml:space="preserve">  LTV Ratio</t>
        </is>
      </c>
      <c r="C48" s="161" t="n"/>
      <c r="D48" s="159" t="n">
        <v>0.85</v>
      </c>
      <c r="E48" s="173" t="n"/>
      <c r="F48" s="468" t="n"/>
      <c r="G48" s="172" t="n">
        <v>0</v>
      </c>
      <c r="H48" s="161" t="n"/>
      <c r="I48" s="161" t="n"/>
      <c r="J48" s="171">
        <f>K27*D48</f>
        <v/>
      </c>
    </row>
    <row r="49">
      <c r="B49" s="144" t="inlineStr">
        <is>
          <t xml:space="preserve">  Interest Rate</t>
        </is>
      </c>
      <c r="D49" s="363" t="n">
        <v>0.03</v>
      </c>
      <c r="E49" s="143" t="n"/>
      <c r="F49" s="468" t="n"/>
      <c r="G49" s="170" t="n">
        <v>1</v>
      </c>
      <c r="H49" s="169">
        <f>$D$52-I49</f>
        <v/>
      </c>
      <c r="I49" s="169">
        <f>J48-J49</f>
        <v/>
      </c>
      <c r="J49" s="168">
        <f>PV($D$49/$D$51,(($D$50-G49)*$D$51),-$D$52/$D$51)</f>
        <v/>
      </c>
    </row>
    <row r="50">
      <c r="B50" s="144" t="inlineStr">
        <is>
          <t xml:space="preserve">  Amortization</t>
        </is>
      </c>
      <c r="D50" s="364" t="n">
        <v>35</v>
      </c>
      <c r="E50" s="145" t="inlineStr">
        <is>
          <t>years</t>
        </is>
      </c>
      <c r="F50" s="468" t="n"/>
      <c r="G50" s="170" t="n">
        <v>2</v>
      </c>
      <c r="H50" s="169">
        <f>$D$52-I50</f>
        <v/>
      </c>
      <c r="I50" s="169">
        <f>J49-J50</f>
        <v/>
      </c>
      <c r="J50" s="168">
        <f>PV($D$49/$D$51,(($D$50-G50)*$D$51),-$D$52/$D$51)</f>
        <v/>
      </c>
    </row>
    <row r="51">
      <c r="B51" s="144" t="inlineStr">
        <is>
          <t xml:space="preserve">  Payments per year</t>
        </is>
      </c>
      <c r="D51" s="365" t="n">
        <v>12</v>
      </c>
      <c r="E51" s="145" t="n"/>
      <c r="F51" s="468" t="n"/>
      <c r="G51" s="170" t="n">
        <v>3</v>
      </c>
      <c r="H51" s="169">
        <f>$D$52-I51</f>
        <v/>
      </c>
      <c r="I51" s="169">
        <f>J50-J51</f>
        <v/>
      </c>
      <c r="J51" s="168">
        <f>PV($D$49/$D$51,(($D$50-G51)*$D$51),-$D$52/$D$51)</f>
        <v/>
      </c>
    </row>
    <row r="52">
      <c r="B52" s="144" t="inlineStr">
        <is>
          <t xml:space="preserve">  Annual Debt Service</t>
        </is>
      </c>
      <c r="D52" s="169">
        <f>PMT(D49/D51,D50*D51,-J48)*12</f>
        <v/>
      </c>
      <c r="E52" s="143" t="n"/>
      <c r="F52" s="468" t="n"/>
      <c r="G52" s="170" t="n">
        <v>4</v>
      </c>
      <c r="H52" s="169">
        <f>$D$52-I52</f>
        <v/>
      </c>
      <c r="I52" s="169">
        <f>J51-J52</f>
        <v/>
      </c>
      <c r="J52" s="168">
        <f>PV($D$49/$D$51,(($D$50-G52)*$D$51),-$D$52/$D$51)</f>
        <v/>
      </c>
    </row>
    <row r="53">
      <c r="B53" s="144" t="inlineStr">
        <is>
          <t xml:space="preserve">  Term</t>
        </is>
      </c>
      <c r="D53" s="139" t="n">
        <v>30</v>
      </c>
      <c r="E53" s="145" t="inlineStr">
        <is>
          <t>years</t>
        </is>
      </c>
      <c r="F53" s="469" t="n"/>
      <c r="G53" s="167" t="n">
        <v>5</v>
      </c>
      <c r="H53" s="166">
        <f>$D$52-I53</f>
        <v/>
      </c>
      <c r="I53" s="166">
        <f>J52-J53</f>
        <v/>
      </c>
      <c r="J53" s="165">
        <f>PV($D$49/$D$51,(($D$50-G53)*$D$51),-$D$52/$D$51)</f>
        <v/>
      </c>
    </row>
    <row r="54">
      <c r="B54" s="142" t="inlineStr">
        <is>
          <t xml:space="preserve">  Points or Financing Costs at Origination</t>
        </is>
      </c>
      <c r="C54" s="470">
        <f>D54*J48/100</f>
        <v/>
      </c>
      <c r="D54" s="366" t="n">
        <v>0</v>
      </c>
      <c r="E54" s="163" t="inlineStr">
        <is>
          <t>point</t>
        </is>
      </c>
    </row>
    <row r="55">
      <c r="B55" s="155" t="n"/>
    </row>
    <row r="56" ht="13" customHeight="1">
      <c r="B56" s="152" t="inlineStr">
        <is>
          <t>Tax Environment</t>
        </is>
      </c>
      <c r="C56" s="151" t="n"/>
      <c r="D56" s="151" t="n"/>
      <c r="E56" s="151" t="n"/>
      <c r="F56" s="150" t="n"/>
    </row>
    <row r="57">
      <c r="B57" s="162" t="inlineStr">
        <is>
          <t xml:space="preserve">  Ordinary Income Tax Rate</t>
        </is>
      </c>
      <c r="C57" s="161" t="n"/>
      <c r="D57" s="367" t="n">
        <v>0.36</v>
      </c>
      <c r="E57" s="161" t="n"/>
      <c r="F57" s="160" t="n"/>
    </row>
    <row r="58">
      <c r="B58" s="146" t="inlineStr">
        <is>
          <t xml:space="preserve">  Depreciation Recapture Tax Rate</t>
        </is>
      </c>
      <c r="D58" s="368" t="n">
        <v>0.25</v>
      </c>
      <c r="F58" s="158" t="n"/>
    </row>
    <row r="59">
      <c r="B59" s="146" t="inlineStr">
        <is>
          <t xml:space="preserve">  Capital Gains Tax Rate</t>
        </is>
      </c>
      <c r="D59" s="369" t="n">
        <v>0.15</v>
      </c>
      <c r="F59" s="158" t="n"/>
    </row>
    <row r="60">
      <c r="B60" s="149" t="inlineStr">
        <is>
          <t xml:space="preserve">  Depreciation Parameters - Initial Investment</t>
        </is>
      </c>
      <c r="C60" s="141" t="n"/>
      <c r="D60" s="141" t="n"/>
      <c r="E60" s="141" t="n"/>
      <c r="F60" s="140" t="n"/>
    </row>
    <row r="61">
      <c r="B61" s="146" t="inlineStr">
        <is>
          <t xml:space="preserve">    Depreciable Basis of Initial Investment</t>
        </is>
      </c>
      <c r="D61" s="367" t="n">
        <v>0.8</v>
      </c>
      <c r="F61" s="158" t="n"/>
    </row>
    <row r="62" ht="15.5" customHeight="1">
      <c r="B62" s="146" t="inlineStr">
        <is>
          <t xml:space="preserve">    Average Depreciable Life</t>
        </is>
      </c>
      <c r="D62" s="378" t="n">
        <v>30</v>
      </c>
      <c r="E62" s="155" t="inlineStr">
        <is>
          <t>years</t>
        </is>
      </c>
      <c r="F62" s="143" t="n"/>
    </row>
    <row r="63">
      <c r="B63" s="146" t="inlineStr">
        <is>
          <t xml:space="preserve">    Depreciation Method</t>
        </is>
      </c>
      <c r="D63" s="157" t="inlineStr">
        <is>
          <t>straight-line</t>
        </is>
      </c>
      <c r="F63" s="471" t="n"/>
    </row>
    <row r="64">
      <c r="B64" s="149" t="inlineStr">
        <is>
          <t xml:space="preserve">  Depreciation Parameters - Replacement Reserves</t>
        </is>
      </c>
      <c r="C64" s="141" t="n"/>
      <c r="D64" s="141" t="n"/>
      <c r="E64" s="141" t="n"/>
      <c r="F64" s="140" t="n"/>
    </row>
    <row r="65">
      <c r="B65" s="146" t="inlineStr">
        <is>
          <t xml:space="preserve">    Depreciable Basis Reserves</t>
        </is>
      </c>
      <c r="D65" s="155" t="inlineStr">
        <is>
          <t>Assume reserves spent each year</t>
        </is>
      </c>
      <c r="F65" s="471" t="n"/>
    </row>
    <row r="66">
      <c r="B66" s="146" t="inlineStr">
        <is>
          <t xml:space="preserve">    Average Depreciable Life</t>
        </is>
      </c>
      <c r="D66" s="370" t="n">
        <v>7</v>
      </c>
      <c r="E66" s="155" t="inlineStr">
        <is>
          <t>years</t>
        </is>
      </c>
      <c r="F66" s="143" t="n"/>
    </row>
    <row r="67">
      <c r="B67" s="149" t="inlineStr">
        <is>
          <t xml:space="preserve">    Depreciation Method</t>
        </is>
      </c>
      <c r="C67" s="141" t="n"/>
      <c r="D67" s="154" t="inlineStr">
        <is>
          <t>straight-line</t>
        </is>
      </c>
      <c r="E67" s="141" t="n"/>
      <c r="F67" s="472" t="n"/>
    </row>
    <row r="69" ht="13" customHeight="1">
      <c r="B69" s="152" t="inlineStr">
        <is>
          <t>Investment Parameters</t>
        </is>
      </c>
      <c r="C69" s="151" t="n"/>
      <c r="D69" s="151" t="n"/>
      <c r="E69" s="150" t="n"/>
    </row>
    <row r="70">
      <c r="B70" s="149" t="inlineStr">
        <is>
          <t xml:space="preserve">  Desired Total Property Before-Tax Return</t>
        </is>
      </c>
      <c r="C70" s="141" t="n"/>
      <c r="D70" s="379" t="n">
        <v>0.1</v>
      </c>
      <c r="E70" s="140" t="n"/>
    </row>
    <row r="71">
      <c r="B71" s="146" t="inlineStr">
        <is>
          <t xml:space="preserve">  Loan to Value Ratio</t>
        </is>
      </c>
      <c r="D71" s="148" t="n">
        <v>0.8</v>
      </c>
      <c r="E71" s="147" t="inlineStr">
        <is>
          <t>80% LTV</t>
        </is>
      </c>
    </row>
    <row r="72">
      <c r="B72" s="144" t="inlineStr">
        <is>
          <t xml:space="preserve">  Desired Equity Before-Tax IRR</t>
        </is>
      </c>
      <c r="D72" s="380" t="n">
        <v>0.14</v>
      </c>
      <c r="E72" s="380" t="n">
        <v>0.16</v>
      </c>
    </row>
    <row r="73">
      <c r="B73" s="144" t="inlineStr">
        <is>
          <t xml:space="preserve">  Desired Equity After-Tax IRR</t>
        </is>
      </c>
      <c r="D73" s="381" t="n">
        <v>0.1075</v>
      </c>
      <c r="E73" s="381" t="n">
        <v>0.125</v>
      </c>
    </row>
    <row r="74">
      <c r="B74" s="146" t="inlineStr">
        <is>
          <t xml:space="preserve">  Desired Holding Period</t>
        </is>
      </c>
      <c r="D74" s="139" t="n">
        <v>30</v>
      </c>
      <c r="E74" s="145" t="inlineStr">
        <is>
          <t>years</t>
        </is>
      </c>
    </row>
    <row r="75">
      <c r="B75" s="144" t="inlineStr">
        <is>
          <t xml:space="preserve">  Capitalization Rate at end of Holding Period</t>
        </is>
      </c>
      <c r="D75" s="380" t="n">
        <v>0.05</v>
      </c>
      <c r="E75" s="143" t="n"/>
    </row>
    <row r="76">
      <c r="B76" s="142" t="inlineStr">
        <is>
          <t xml:space="preserve">  Selling Expenses </t>
        </is>
      </c>
      <c r="C76" s="141" t="n"/>
      <c r="D76" s="381" t="n">
        <v>0.02</v>
      </c>
      <c r="E76" s="140" t="n"/>
    </row>
    <row r="78" ht="15.5" customHeight="1">
      <c r="B78" s="390" t="inlineStr">
        <is>
          <t>Soft Cost Assumptions</t>
        </is>
      </c>
      <c r="C78" s="391" t="n"/>
      <c r="D78" s="392" t="n"/>
    </row>
    <row r="79" ht="15.5" customHeight="1">
      <c r="B79" s="393" t="inlineStr">
        <is>
          <t>Architectural Fee 2.8%</t>
        </is>
      </c>
      <c r="D79" s="416" t="n">
        <v>0.028</v>
      </c>
    </row>
    <row r="80" ht="15.5" customHeight="1">
      <c r="B80" s="393" t="inlineStr">
        <is>
          <t>Construction Management Fee</t>
        </is>
      </c>
      <c r="D80" s="407" t="n">
        <v>0.035</v>
      </c>
    </row>
    <row r="81" ht="15.5" customHeight="1">
      <c r="B81" s="393" t="inlineStr">
        <is>
          <t>Permit Fees psf</t>
        </is>
      </c>
      <c r="D81" s="473" t="n">
        <v>0.6</v>
      </c>
    </row>
    <row r="82" ht="15.5" customHeight="1">
      <c r="B82" s="393" t="inlineStr">
        <is>
          <t>Acquisition Fee</t>
        </is>
      </c>
      <c r="D82" s="409" t="n">
        <v>0.02</v>
      </c>
    </row>
    <row r="83" ht="15.5" customHeight="1">
      <c r="B83" s="394" t="inlineStr">
        <is>
          <t>Developer Fee</t>
        </is>
      </c>
      <c r="C83" s="395" t="n"/>
      <c r="D83" s="410" t="n">
        <v>0.03</v>
      </c>
    </row>
    <row r="84" ht="15.5" customHeight="1"/>
    <row r="85" ht="15.5" customHeight="1">
      <c r="B85" s="390" t="inlineStr">
        <is>
          <t>Project Summary Assumtions</t>
        </is>
      </c>
      <c r="C85" s="391" t="n"/>
      <c r="D85" s="392" t="n"/>
    </row>
    <row r="86" ht="15.5" customHeight="1">
      <c r="B86" s="396" t="inlineStr">
        <is>
          <t>Residential Units</t>
        </is>
      </c>
      <c r="C86" s="232" t="n"/>
      <c r="D86" s="411">
        <f>D39</f>
        <v/>
      </c>
    </row>
    <row r="87" ht="15.5" customHeight="1">
      <c r="B87" s="394" t="inlineStr">
        <is>
          <t>Stabilized Cap Rate</t>
        </is>
      </c>
      <c r="C87" s="395" t="n"/>
      <c r="D87" s="412" t="n">
        <v>0.055</v>
      </c>
    </row>
  </sheetData>
  <mergeCells count="1">
    <mergeCell ref="F47:F53"/>
  </mergeCells>
  <pageMargins left="0.7" right="0.7" top="0.75" bottom="0.75" header="0.3" footer="0.3"/>
  <pageSetup orientation="portrait" scale="52"/>
  <legacyDrawing xmlns:r="http://schemas.openxmlformats.org/officeDocument/2006/relationships" r:id="anysvml"/>
</worksheet>
</file>

<file path=xl/worksheets/sheet4.xml><?xml version="1.0" encoding="utf-8"?>
<worksheet xmlns="http://schemas.openxmlformats.org/spreadsheetml/2006/main">
  <sheetPr>
    <tabColor theme="5"/>
    <outlinePr summaryBelow="1" summaryRight="1"/>
    <pageSetUpPr fitToPage="1"/>
  </sheetPr>
  <dimension ref="B1:H50"/>
  <sheetViews>
    <sheetView workbookViewId="0">
      <selection activeCell="F27" sqref="F27"/>
    </sheetView>
  </sheetViews>
  <sheetFormatPr baseColWidth="8" defaultColWidth="8.08203125" defaultRowHeight="12.5"/>
  <cols>
    <col width="2.5" customWidth="1" style="295" min="1" max="1"/>
    <col width="31" customWidth="1" style="295" min="2" max="2"/>
    <col width="11.58203125" customWidth="1" style="295" min="3" max="8"/>
    <col width="8.08203125" customWidth="1" style="295" min="9" max="16384"/>
  </cols>
  <sheetData>
    <row r="1" ht="15.5" customHeight="1">
      <c r="B1" s="309" t="n"/>
      <c r="H1" s="309" t="n"/>
    </row>
    <row r="2" ht="16" customHeight="1" thickBot="1">
      <c r="B2" s="308">
        <f>CONCATENATE('Pro Forma'!B3," - Estimates of Annual Cash Flows ")</f>
        <v/>
      </c>
      <c r="C2" s="308" t="n"/>
      <c r="D2" s="306" t="n"/>
      <c r="E2" s="306" t="n"/>
      <c r="F2" s="306" t="n"/>
      <c r="G2" s="307" t="n"/>
      <c r="H2" s="306" t="n"/>
    </row>
    <row r="4" ht="13" customHeight="1">
      <c r="B4" s="302" t="inlineStr">
        <is>
          <t>Metrics</t>
        </is>
      </c>
      <c r="C4" s="305" t="inlineStr">
        <is>
          <t>Year 1</t>
        </is>
      </c>
      <c r="D4" s="316" t="inlineStr">
        <is>
          <t>Year 2</t>
        </is>
      </c>
      <c r="E4" s="305" t="inlineStr">
        <is>
          <t>Year 3</t>
        </is>
      </c>
      <c r="F4" s="316" t="inlineStr">
        <is>
          <t>Year 4</t>
        </is>
      </c>
      <c r="G4" s="305" t="inlineStr">
        <is>
          <t>Year 5</t>
        </is>
      </c>
      <c r="H4" s="316" t="inlineStr">
        <is>
          <t>Year 6</t>
        </is>
      </c>
    </row>
    <row r="5" ht="15.5" customHeight="1">
      <c r="B5" s="301" t="inlineStr">
        <is>
          <t xml:space="preserve">  Vacancy - Percent</t>
        </is>
      </c>
      <c r="C5" s="312">
        <f>C13/C12</f>
        <v/>
      </c>
      <c r="D5" s="312">
        <f>D13/D12</f>
        <v/>
      </c>
      <c r="E5" s="312">
        <f>E13/E12</f>
        <v/>
      </c>
      <c r="F5" s="312">
        <f>F13/F12</f>
        <v/>
      </c>
      <c r="G5" s="312">
        <f>G13/G12</f>
        <v/>
      </c>
      <c r="H5" s="312">
        <f>H13/H12</f>
        <v/>
      </c>
    </row>
    <row r="6" ht="15.5" customHeight="1">
      <c r="B6" s="301" t="inlineStr">
        <is>
          <t xml:space="preserve">  Operating Expense Ratio</t>
        </is>
      </c>
      <c r="C6" s="312">
        <f>C17/C15</f>
        <v/>
      </c>
      <c r="D6" s="312">
        <f>D17/D15</f>
        <v/>
      </c>
      <c r="E6" s="312">
        <f>E17/E15</f>
        <v/>
      </c>
      <c r="F6" s="312">
        <f>F17/F15</f>
        <v/>
      </c>
      <c r="G6" s="312">
        <f>G17/G15</f>
        <v/>
      </c>
      <c r="H6" s="312">
        <f>H17/H15</f>
        <v/>
      </c>
    </row>
    <row r="7" ht="15.5" customHeight="1">
      <c r="B7" s="301" t="inlineStr">
        <is>
          <t xml:space="preserve">  Net Operating Income Margin</t>
        </is>
      </c>
      <c r="C7" s="312">
        <f>C18/C15</f>
        <v/>
      </c>
      <c r="D7" s="312">
        <f>D18/D15</f>
        <v/>
      </c>
      <c r="E7" s="312">
        <f>E18/E15</f>
        <v/>
      </c>
      <c r="F7" s="312">
        <f>F18/F15</f>
        <v/>
      </c>
      <c r="G7" s="312">
        <f>G18/G15</f>
        <v/>
      </c>
      <c r="H7" s="312">
        <f>H18/H15</f>
        <v/>
      </c>
    </row>
    <row r="8">
      <c r="B8" s="301" t="inlineStr">
        <is>
          <t xml:space="preserve">  Debt Coverage Ratio</t>
        </is>
      </c>
      <c r="C8" s="317">
        <f>C22/C24</f>
        <v/>
      </c>
      <c r="D8" s="317">
        <f>D22/D24</f>
        <v/>
      </c>
      <c r="E8" s="317">
        <f>E22/E24</f>
        <v/>
      </c>
      <c r="F8" s="317">
        <f>F22/F24</f>
        <v/>
      </c>
      <c r="G8" s="317">
        <f>G22/G24</f>
        <v/>
      </c>
      <c r="H8" s="318" t="inlineStr">
        <is>
          <t>N/A</t>
        </is>
      </c>
    </row>
    <row r="10" ht="13" customHeight="1">
      <c r="B10" s="302" t="inlineStr">
        <is>
          <t>Cash Calculation</t>
        </is>
      </c>
      <c r="C10" s="305" t="inlineStr">
        <is>
          <t>Year 1</t>
        </is>
      </c>
      <c r="D10" s="316" t="inlineStr">
        <is>
          <t>Year 2</t>
        </is>
      </c>
      <c r="E10" s="305" t="inlineStr">
        <is>
          <t>Year 3</t>
        </is>
      </c>
      <c r="F10" s="316" t="inlineStr">
        <is>
          <t>Year 4</t>
        </is>
      </c>
      <c r="G10" s="305" t="inlineStr">
        <is>
          <t>Year 5</t>
        </is>
      </c>
      <c r="H10" s="316" t="inlineStr">
        <is>
          <t>Year 6</t>
        </is>
      </c>
    </row>
    <row r="12" ht="15.5" customHeight="1">
      <c r="B12" s="295" t="inlineStr">
        <is>
          <t>Potential Gross Income</t>
        </is>
      </c>
      <c r="C12" s="185">
        <f>'Construction Loan'!F26</f>
        <v/>
      </c>
      <c r="D12" s="185">
        <f>C12*(1+'Pro Forma'!D42)</f>
        <v/>
      </c>
      <c r="E12" s="185">
        <f>D12*(1+'Pro Forma'!E42)</f>
        <v/>
      </c>
      <c r="F12" s="185">
        <f>E12*(1+'Pro Forma'!F42)</f>
        <v/>
      </c>
      <c r="G12" s="185">
        <f>F12*(1+'Pro Forma'!G42)</f>
        <v/>
      </c>
      <c r="H12" s="185">
        <f>IFERROR(G12*(1+'Pro Forma'!H42),)</f>
        <v/>
      </c>
    </row>
    <row r="13" ht="15.5" customHeight="1">
      <c r="B13" s="295" t="inlineStr">
        <is>
          <t>Less:  Vacancy &amp; Collection Loss</t>
        </is>
      </c>
      <c r="C13" s="185">
        <f>C12*'Pro Forma'!C$44</f>
        <v/>
      </c>
      <c r="D13" s="185">
        <f>D12*'Pro Forma'!D$44</f>
        <v/>
      </c>
      <c r="E13" s="185">
        <f>E12*'Pro Forma'!E$44</f>
        <v/>
      </c>
      <c r="F13" s="185">
        <f>F12*'Pro Forma'!F$44</f>
        <v/>
      </c>
      <c r="G13" s="185">
        <f>G12*'Pro Forma'!G$44</f>
        <v/>
      </c>
      <c r="H13" s="185">
        <f>IFERROR(H12*'Pro Forma'!H$44,)</f>
        <v/>
      </c>
    </row>
    <row r="14" ht="15.5" customHeight="1">
      <c r="B14" s="295" t="inlineStr">
        <is>
          <t>Add: Misc Revenues</t>
        </is>
      </c>
      <c r="C14" s="182" t="n"/>
      <c r="D14" s="182">
        <f>C14*(1+'Pro Forma'!D42)</f>
        <v/>
      </c>
      <c r="E14" s="182">
        <f>D14*(1+'Pro Forma'!E42)</f>
        <v/>
      </c>
      <c r="F14" s="182">
        <f>E14*(1+'Pro Forma'!F42)</f>
        <v/>
      </c>
      <c r="G14" s="182">
        <f>F14*(1+'Pro Forma'!G42)</f>
        <v/>
      </c>
      <c r="H14" s="182">
        <f>IFERROR(G14*(1+'Pro Forma'!H42),)</f>
        <v/>
      </c>
    </row>
    <row r="15" ht="15.5" customHeight="1">
      <c r="B15" s="295" t="inlineStr">
        <is>
          <t xml:space="preserve">  Equals: Effective Gross Income</t>
        </is>
      </c>
      <c r="C15" s="185">
        <f>C12-C13+C14</f>
        <v/>
      </c>
      <c r="D15" s="185">
        <f>D12-D13+D14</f>
        <v/>
      </c>
      <c r="E15" s="185">
        <f>E12-E13+E14</f>
        <v/>
      </c>
      <c r="F15" s="185">
        <f>F12-F13+F14</f>
        <v/>
      </c>
      <c r="G15" s="185">
        <f>G12-G13+G14</f>
        <v/>
      </c>
      <c r="H15" s="185">
        <f>H12-H13+H14</f>
        <v/>
      </c>
    </row>
    <row r="17" ht="15.5" customHeight="1">
      <c r="B17" s="295" t="inlineStr">
        <is>
          <t>Less: Operating Expenses</t>
        </is>
      </c>
      <c r="C17" s="185">
        <f>'Construction Loan'!$F$35*(1+'Pro Forma'!C43)</f>
        <v/>
      </c>
      <c r="D17" s="185">
        <f>C17*(1+'Pro Forma'!D43)</f>
        <v/>
      </c>
      <c r="E17" s="185">
        <f>D17*(1+'Pro Forma'!E43)</f>
        <v/>
      </c>
      <c r="F17" s="185">
        <f>E17*(1+'Pro Forma'!F43)</f>
        <v/>
      </c>
      <c r="G17" s="185">
        <f>F17*(1+'Pro Forma'!G43)</f>
        <v/>
      </c>
      <c r="H17" s="185">
        <f>IFERROR(G17*(1+'Pro Forma'!H43),)</f>
        <v/>
      </c>
    </row>
    <row r="18" ht="15.5" customHeight="1">
      <c r="B18" s="295" t="inlineStr">
        <is>
          <t xml:space="preserve">  Equals: Net Operating Income</t>
        </is>
      </c>
      <c r="C18" s="185">
        <f>C15-C17</f>
        <v/>
      </c>
      <c r="D18" s="185">
        <f>D15-D17</f>
        <v/>
      </c>
      <c r="E18" s="185">
        <f>E15-E17</f>
        <v/>
      </c>
      <c r="F18" s="185">
        <f>F15-F17</f>
        <v/>
      </c>
      <c r="G18" s="185">
        <f>G15-G17</f>
        <v/>
      </c>
      <c r="H18" s="185">
        <f>H15-H17</f>
        <v/>
      </c>
    </row>
    <row r="20" ht="15.5" customHeight="1">
      <c r="B20" s="301" t="inlineStr">
        <is>
          <t>Less: Reserve for Replacement</t>
        </is>
      </c>
      <c r="C20" s="185">
        <f>C15*'Pro Forma'!C45</f>
        <v/>
      </c>
      <c r="D20" s="185">
        <f>D15*'Pro Forma'!D45</f>
        <v/>
      </c>
      <c r="E20" s="185">
        <f>E15*'Pro Forma'!E45</f>
        <v/>
      </c>
      <c r="F20" s="185">
        <f>F15*'Pro Forma'!F45</f>
        <v/>
      </c>
      <c r="G20" s="185">
        <f>G15*'Pro Forma'!G45</f>
        <v/>
      </c>
    </row>
    <row r="21" ht="15.5" customHeight="1">
      <c r="B21" s="295" t="inlineStr">
        <is>
          <t>Less: Non-Recurring Expenses</t>
        </is>
      </c>
      <c r="C21" s="314" t="n">
        <v>0</v>
      </c>
      <c r="D21" s="314" t="n">
        <v>0</v>
      </c>
      <c r="E21" s="314" t="n">
        <v>0</v>
      </c>
      <c r="F21" s="314" t="n">
        <v>0</v>
      </c>
      <c r="G21" s="314" t="n">
        <v>0</v>
      </c>
    </row>
    <row r="22" ht="15.5" customHeight="1">
      <c r="B22" s="295" t="inlineStr">
        <is>
          <t xml:space="preserve">  Equals: Cash Flow from Operations</t>
        </is>
      </c>
      <c r="C22" s="185">
        <f>C18-C20-C21</f>
        <v/>
      </c>
      <c r="D22" s="185">
        <f>D18-D20-D21</f>
        <v/>
      </c>
      <c r="E22" s="185">
        <f>E18-E20-E21</f>
        <v/>
      </c>
      <c r="F22" s="185">
        <f>F18-F20-F21</f>
        <v/>
      </c>
      <c r="G22" s="185">
        <f>G18-G20-G21</f>
        <v/>
      </c>
      <c r="H22" s="185" t="n"/>
    </row>
    <row r="24" ht="15.5" customHeight="1">
      <c r="B24" s="295" t="inlineStr">
        <is>
          <t>Less: Annual Debt Service</t>
        </is>
      </c>
      <c r="C24" s="182">
        <f>'Pro Forma'!$D$52</f>
        <v/>
      </c>
      <c r="D24" s="182">
        <f>'Pro Forma'!$D$52</f>
        <v/>
      </c>
      <c r="E24" s="182">
        <f>'Pro Forma'!$D$52</f>
        <v/>
      </c>
      <c r="F24" s="182">
        <f>'Pro Forma'!$D$52</f>
        <v/>
      </c>
      <c r="G24" s="182">
        <f>'Pro Forma'!$D$52</f>
        <v/>
      </c>
    </row>
    <row r="25" ht="15.5" customHeight="1">
      <c r="B25" s="295" t="inlineStr">
        <is>
          <t xml:space="preserve">  Equals: Before-Tax Equity Cash Flow</t>
        </is>
      </c>
      <c r="C25" s="185">
        <f>C22-C24</f>
        <v/>
      </c>
      <c r="D25" s="185">
        <f>D22-D24</f>
        <v/>
      </c>
      <c r="E25" s="185">
        <f>E22-E24</f>
        <v/>
      </c>
      <c r="F25" s="185">
        <f>F22-F24</f>
        <v/>
      </c>
      <c r="G25" s="185">
        <f>G22-G24</f>
        <v/>
      </c>
    </row>
    <row r="27" ht="15.5" customHeight="1">
      <c r="B27" s="295" t="inlineStr">
        <is>
          <t>Less: Income Taxes</t>
        </is>
      </c>
      <c r="C27" s="182">
        <f>C41</f>
        <v/>
      </c>
      <c r="D27" s="182">
        <f>D41</f>
        <v/>
      </c>
      <c r="E27" s="182">
        <f>E41</f>
        <v/>
      </c>
      <c r="F27" s="182">
        <f>F41</f>
        <v/>
      </c>
      <c r="G27" s="182">
        <f>G41</f>
        <v/>
      </c>
    </row>
    <row r="28" ht="16" customHeight="1" thickBot="1">
      <c r="B28" s="295" t="inlineStr">
        <is>
          <t xml:space="preserve">  Equals: After-Tax Equity Cash Flow</t>
        </is>
      </c>
      <c r="C28" s="313">
        <f>C25-C27</f>
        <v/>
      </c>
      <c r="D28" s="313">
        <f>D25-D27</f>
        <v/>
      </c>
      <c r="E28" s="313">
        <f>E25-E27</f>
        <v/>
      </c>
      <c r="F28" s="313">
        <f>F25-F27</f>
        <v/>
      </c>
      <c r="G28" s="313">
        <f>G25-G27</f>
        <v/>
      </c>
    </row>
    <row r="29" ht="13" customHeight="1" thickTop="1"/>
    <row r="30" ht="13" customHeight="1">
      <c r="B30" s="302" t="inlineStr">
        <is>
          <t>Tax Calculation</t>
        </is>
      </c>
      <c r="C30" s="305" t="inlineStr">
        <is>
          <t>Year 1</t>
        </is>
      </c>
      <c r="D30" s="316" t="inlineStr">
        <is>
          <t>Year 2</t>
        </is>
      </c>
      <c r="E30" s="305" t="inlineStr">
        <is>
          <t>Year 3</t>
        </is>
      </c>
      <c r="F30" s="316" t="inlineStr">
        <is>
          <t>Year 4</t>
        </is>
      </c>
      <c r="G30" s="305" t="inlineStr">
        <is>
          <t>Year 5</t>
        </is>
      </c>
    </row>
    <row r="32" ht="15.5" customHeight="1">
      <c r="B32" s="301" t="inlineStr">
        <is>
          <t>Cash Flow from Operations</t>
        </is>
      </c>
      <c r="C32" s="185">
        <f>C22</f>
        <v/>
      </c>
      <c r="D32" s="185">
        <f>D22</f>
        <v/>
      </c>
      <c r="E32" s="185">
        <f>E22</f>
        <v/>
      </c>
      <c r="F32" s="185">
        <f>F22</f>
        <v/>
      </c>
      <c r="G32" s="185">
        <f>G22</f>
        <v/>
      </c>
    </row>
    <row r="33" ht="15.5" customHeight="1">
      <c r="B33" s="301" t="inlineStr">
        <is>
          <t>Add: Reserve for Replacement</t>
        </is>
      </c>
      <c r="C33" s="185">
        <f>C20</f>
        <v/>
      </c>
      <c r="D33" s="185">
        <f>D20</f>
        <v/>
      </c>
      <c r="E33" s="185">
        <f>E20</f>
        <v/>
      </c>
      <c r="F33" s="185">
        <f>F20</f>
        <v/>
      </c>
      <c r="G33" s="185">
        <f>G20</f>
        <v/>
      </c>
    </row>
    <row r="34" ht="15.5" customHeight="1">
      <c r="B34" s="301" t="inlineStr">
        <is>
          <t>Less: Mortgage Interest</t>
        </is>
      </c>
      <c r="C34" s="185">
        <f>'Pro Forma'!$H49</f>
        <v/>
      </c>
      <c r="D34" s="185">
        <f>'Pro Forma'!$H50</f>
        <v/>
      </c>
      <c r="E34" s="185">
        <f>'Pro Forma'!$H51</f>
        <v/>
      </c>
      <c r="F34" s="185">
        <f>'Pro Forma'!$H52</f>
        <v/>
      </c>
      <c r="G34" s="185">
        <f>'Pro Forma'!$H53</f>
        <v/>
      </c>
    </row>
    <row r="35" ht="15.5" customHeight="1">
      <c r="B35" s="301" t="inlineStr">
        <is>
          <t>Less: Depreciation - Initial Investment</t>
        </is>
      </c>
      <c r="C35" s="185">
        <f>'Construction Loan'!J29*'Pro Forma'!D61/'Pro Forma'!D62</f>
        <v/>
      </c>
      <c r="D35" s="185">
        <f>C35</f>
        <v/>
      </c>
      <c r="E35" s="185">
        <f>D35</f>
        <v/>
      </c>
      <c r="F35" s="185">
        <f>E35</f>
        <v/>
      </c>
      <c r="G35" s="185">
        <f>F35</f>
        <v/>
      </c>
    </row>
    <row r="36" ht="15.5" customHeight="1">
      <c r="B36" s="301" t="inlineStr">
        <is>
          <t>Less: Depreciation - Reserve for Repl.</t>
        </is>
      </c>
      <c r="C36" s="185">
        <f>C33/'Pro Forma'!D66</f>
        <v/>
      </c>
      <c r="D36" s="185">
        <f>SUM(C33:D33)/'Pro Forma'!D66</f>
        <v/>
      </c>
      <c r="E36" s="185">
        <f>SUM(C33:E33)/'Pro Forma'!D66</f>
        <v/>
      </c>
      <c r="F36" s="185">
        <f>SUM(C33:F33)/'Pro Forma'!D66</f>
        <v/>
      </c>
      <c r="G36" s="185">
        <f>SUM(C33:G33)/'Pro Forma'!D66</f>
        <v/>
      </c>
    </row>
    <row r="37" ht="15.5" customHeight="1">
      <c r="B37" s="301" t="inlineStr">
        <is>
          <t>Less: Amortized Financing Costs</t>
        </is>
      </c>
      <c r="C37" s="182">
        <f>'Pro Forma'!C54/'Pro Forma'!D53</f>
        <v/>
      </c>
      <c r="D37" s="182">
        <f>C37</f>
        <v/>
      </c>
      <c r="E37" s="182">
        <f>D37</f>
        <v/>
      </c>
      <c r="F37" s="182">
        <f>E37</f>
        <v/>
      </c>
      <c r="G37" s="182">
        <f>'Pro Forma'!C54-SUM('Annual Cash Flow'!C37:F37)</f>
        <v/>
      </c>
    </row>
    <row r="38" ht="16" customHeight="1" thickBot="1">
      <c r="B38" s="295" t="inlineStr">
        <is>
          <t xml:space="preserve">  Equals: Taxable Income</t>
        </is>
      </c>
      <c r="C38" s="313">
        <f>C32+C33-C34-C35-C36-C37</f>
        <v/>
      </c>
      <c r="D38" s="313">
        <f>D32+D33-D34-D35-D36-D37</f>
        <v/>
      </c>
      <c r="E38" s="313">
        <f>E32+E33-E34-E35-E36-E37</f>
        <v/>
      </c>
      <c r="F38" s="313">
        <f>F32+F33-F34-F35-F36-F37</f>
        <v/>
      </c>
      <c r="G38" s="313">
        <f>G32+G33-G34-G35-G36-G37</f>
        <v/>
      </c>
    </row>
    <row r="39" ht="13" customHeight="1" thickTop="1"/>
    <row r="40">
      <c r="B40" s="301" t="inlineStr">
        <is>
          <t>Times: Tax Rate</t>
        </is>
      </c>
      <c r="C40" s="315">
        <f>'Pro Forma'!$D$57</f>
        <v/>
      </c>
      <c r="D40" s="315">
        <f>C40</f>
        <v/>
      </c>
      <c r="E40" s="315">
        <f>D40</f>
        <v/>
      </c>
      <c r="F40" s="315">
        <f>E40</f>
        <v/>
      </c>
      <c r="G40" s="315">
        <f>F40</f>
        <v/>
      </c>
    </row>
    <row r="41" ht="16" customHeight="1" thickBot="1">
      <c r="B41" s="295" t="inlineStr">
        <is>
          <t xml:space="preserve">  Equals: Income Taxes</t>
        </is>
      </c>
      <c r="C41" s="313">
        <f>C38*C40</f>
        <v/>
      </c>
      <c r="D41" s="313">
        <f>D38*D40</f>
        <v/>
      </c>
      <c r="E41" s="313">
        <f>E38*E40</f>
        <v/>
      </c>
      <c r="F41" s="313">
        <f>F38*F40</f>
        <v/>
      </c>
      <c r="G41" s="313">
        <f>G38*G40</f>
        <v/>
      </c>
    </row>
    <row r="42" ht="13" customHeight="1" thickTop="1"/>
    <row r="49">
      <c r="B49" s="301" t="n"/>
    </row>
    <row r="50">
      <c r="B50" s="301" t="n"/>
      <c r="D50" s="296" t="n"/>
    </row>
  </sheetData>
  <pageMargins left="0.75" right="0.75" top="1" bottom="1" header="0.5" footer="0.5"/>
  <pageSetup orientation="portrait" scale="81"/>
</worksheet>
</file>

<file path=xl/worksheets/sheet5.xml><?xml version="1.0" encoding="utf-8"?>
<worksheet xmlns="http://schemas.openxmlformats.org/spreadsheetml/2006/main">
  <sheetPr>
    <tabColor theme="5"/>
    <outlinePr summaryBelow="1" summaryRight="1"/>
    <pageSetUpPr fitToPage="1"/>
  </sheetPr>
  <dimension ref="B1:H47"/>
  <sheetViews>
    <sheetView workbookViewId="0">
      <selection activeCell="D8" sqref="D8"/>
    </sheetView>
  </sheetViews>
  <sheetFormatPr baseColWidth="8" defaultColWidth="8.08203125" defaultRowHeight="12.5"/>
  <cols>
    <col width="2.5" customWidth="1" style="319" min="1" max="1"/>
    <col width="39.33203125" customWidth="1" style="319" min="2" max="2"/>
    <col width="8.08203125" customWidth="1" style="319" min="3" max="3"/>
    <col width="12.58203125" customWidth="1" style="319" min="4" max="4"/>
    <col width="2.5" customWidth="1" style="319" min="5" max="5"/>
    <col width="31.58203125" customWidth="1" style="319" min="6" max="6"/>
    <col width="8.08203125" customWidth="1" style="319" min="7" max="7"/>
    <col width="12.58203125" customWidth="1" style="319" min="8" max="8"/>
    <col width="8.08203125" customWidth="1" style="319" min="9" max="16384"/>
  </cols>
  <sheetData>
    <row r="1" ht="15.5" customHeight="1">
      <c r="B1" s="329" t="n">
        <v>0</v>
      </c>
      <c r="H1" s="329" t="n"/>
    </row>
    <row r="2" ht="16" customHeight="1" thickBot="1">
      <c r="B2" s="328">
        <f>CONCATENATE('Pro Forma'!B3," - Estimate of Cash Flows from Sale at End of Holding Period ")</f>
        <v/>
      </c>
      <c r="C2" s="328" t="n"/>
      <c r="D2" s="327" t="n"/>
      <c r="E2" s="327" t="n"/>
      <c r="F2" s="327" t="n"/>
      <c r="G2" s="327" t="n"/>
      <c r="H2" s="327" t="n"/>
    </row>
    <row r="4" ht="13" customHeight="1">
      <c r="B4" s="324" t="inlineStr">
        <is>
          <t>Estimate of Cash Flows from Sale at End of Holding Period</t>
        </is>
      </c>
    </row>
    <row r="6" ht="13" customHeight="1">
      <c r="B6" s="324" t="inlineStr">
        <is>
          <t>A.  Sale Price Calculation</t>
        </is>
      </c>
      <c r="F6" s="324" t="inlineStr">
        <is>
          <t>D.  Taxes Due on Sale Calculations:</t>
        </is>
      </c>
    </row>
    <row r="7" ht="15.5" customHeight="1">
      <c r="B7" s="319" t="inlineStr">
        <is>
          <t>Estimated Project NOI in Year 6</t>
        </is>
      </c>
      <c r="D7" s="185">
        <f>'Annual Cash Flow'!H18</f>
        <v/>
      </c>
      <c r="F7" s="319">
        <f>B14</f>
        <v/>
      </c>
      <c r="H7" s="323">
        <f>D14</f>
        <v/>
      </c>
    </row>
    <row r="8">
      <c r="B8" s="319" t="inlineStr">
        <is>
          <t>Divided by: Cap. Rate</t>
        </is>
      </c>
      <c r="D8" s="326">
        <f>'Pro Forma'!D75</f>
        <v/>
      </c>
      <c r="F8" s="319" t="inlineStr">
        <is>
          <t>Less:  Adjusted Basis</t>
        </is>
      </c>
      <c r="H8" s="322">
        <f>D23</f>
        <v/>
      </c>
    </row>
    <row r="9" ht="15.5" customHeight="1">
      <c r="B9" s="319" t="inlineStr">
        <is>
          <t xml:space="preserve"> Equals: Expected Sale Price</t>
        </is>
      </c>
      <c r="D9" s="185">
        <f>D7/D8</f>
        <v/>
      </c>
      <c r="F9" s="319" t="inlineStr">
        <is>
          <t xml:space="preserve"> Equals: Total Gain</t>
        </is>
      </c>
      <c r="H9" s="323">
        <f>H7-H8</f>
        <v/>
      </c>
    </row>
    <row r="10" ht="15.5" customHeight="1">
      <c r="B10" s="319" t="inlineStr">
        <is>
          <t>Less:  Selling Expenses</t>
        </is>
      </c>
      <c r="D10" s="182">
        <f>D9*'Pro Forma'!D76</f>
        <v/>
      </c>
      <c r="F10" s="319" t="inlineStr">
        <is>
          <t>Less: Accumulated Depreciation (total)</t>
        </is>
      </c>
      <c r="H10" s="322">
        <f>D20+D22</f>
        <v/>
      </c>
    </row>
    <row r="11" ht="15.5" customHeight="1">
      <c r="B11" s="319" t="inlineStr">
        <is>
          <t xml:space="preserve"> Equals: Net Sale Proceeds</t>
        </is>
      </c>
      <c r="D11" s="185">
        <f>D9-D10</f>
        <v/>
      </c>
      <c r="F11" s="319" t="inlineStr">
        <is>
          <t xml:space="preserve"> Equals: Capital Gain</t>
        </is>
      </c>
      <c r="H11" s="323">
        <f>H9-H10</f>
        <v/>
      </c>
    </row>
    <row r="13" ht="13" customHeight="1">
      <c r="B13" s="324" t="inlineStr">
        <is>
          <t>B.  Calculation of Before-Tax Cash Flow From Sale</t>
        </is>
      </c>
      <c r="F13" s="319" t="inlineStr">
        <is>
          <t>Accumulated Depreciation (total)</t>
        </is>
      </c>
      <c r="H13" s="323">
        <f>H10</f>
        <v/>
      </c>
    </row>
    <row r="14" ht="15.5" customHeight="1">
      <c r="B14" s="319" t="inlineStr">
        <is>
          <t>Net Sale Proceeds</t>
        </is>
      </c>
      <c r="D14" s="185">
        <f>D11</f>
        <v/>
      </c>
      <c r="F14" s="319" t="inlineStr">
        <is>
          <t>Times: Depreciation Recapture Tax Rate</t>
        </is>
      </c>
      <c r="H14" s="325">
        <f>'Pro Forma'!D58</f>
        <v/>
      </c>
    </row>
    <row r="15" ht="15.5" customHeight="1">
      <c r="B15" s="319" t="inlineStr">
        <is>
          <t>Less: Remaining Mortgage Balance</t>
        </is>
      </c>
      <c r="D15" s="182">
        <f>'Pro Forma'!J53</f>
        <v/>
      </c>
      <c r="F15" s="319" t="inlineStr">
        <is>
          <t xml:space="preserve"> Equals: Depreciation Recapture Tax</t>
        </is>
      </c>
      <c r="H15" s="323">
        <f>H13*H14</f>
        <v/>
      </c>
    </row>
    <row r="16" ht="15.5" customHeight="1">
      <c r="B16" s="319" t="inlineStr">
        <is>
          <t xml:space="preserve"> Equals: Before-Tax Equity Reversion</t>
        </is>
      </c>
      <c r="D16" s="185">
        <f>D14-D15</f>
        <v/>
      </c>
    </row>
    <row r="17">
      <c r="F17" s="319" t="inlineStr">
        <is>
          <t>Capital Gain</t>
        </is>
      </c>
      <c r="H17" s="323">
        <f>H11</f>
        <v/>
      </c>
    </row>
    <row r="18" ht="13" customHeight="1">
      <c r="B18" s="324" t="inlineStr">
        <is>
          <t>C.  Adjusted Basis Calculations:</t>
        </is>
      </c>
      <c r="F18" s="319" t="inlineStr">
        <is>
          <t>Times: Capital Gain Tax Rate</t>
        </is>
      </c>
      <c r="H18" s="325">
        <f>'Pro Forma'!D59</f>
        <v/>
      </c>
    </row>
    <row r="19" ht="15.5" customHeight="1">
      <c r="B19" s="319" t="inlineStr">
        <is>
          <t>Initial Investment</t>
        </is>
      </c>
      <c r="D19" s="185">
        <f>'Construction Loan'!J29</f>
        <v/>
      </c>
      <c r="F19" s="319" t="inlineStr">
        <is>
          <t xml:space="preserve"> Equals: Capital Gain Tax</t>
        </is>
      </c>
      <c r="H19" s="322">
        <f>H17*H18</f>
        <v/>
      </c>
    </row>
    <row r="20" ht="15.5" customHeight="1">
      <c r="B20" s="319" t="inlineStr">
        <is>
          <t>Less:  Accumulated Depreciation - Initial Investment</t>
        </is>
      </c>
      <c r="D20" s="185">
        <f>SUM('Annual Cash Flow'!C35:G35)</f>
        <v/>
      </c>
      <c r="F20" s="319" t="inlineStr">
        <is>
          <t xml:space="preserve"> Equals: Total Taxes on Sale</t>
        </is>
      </c>
      <c r="H20" s="323">
        <f>H19+H15</f>
        <v/>
      </c>
    </row>
    <row r="21" ht="15.5" customHeight="1">
      <c r="B21" s="319" t="inlineStr">
        <is>
          <t>Add: Depreciable Basis - Replacement Reserves</t>
        </is>
      </c>
      <c r="D21" s="185">
        <f>SUM('Annual Cash Flow'!C33:G33)</f>
        <v/>
      </c>
    </row>
    <row r="22" ht="15.5" customHeight="1">
      <c r="B22" s="319" t="inlineStr">
        <is>
          <t>Less:  Accumulated Depreciation - Repl. Reserves</t>
        </is>
      </c>
      <c r="D22" s="182">
        <f>SUM('Annual Cash Flow'!C36:G36)</f>
        <v/>
      </c>
      <c r="F22" s="324" t="inlineStr">
        <is>
          <t>E.  Calculation of After-Tax Cash Flow From Sale</t>
        </is>
      </c>
    </row>
    <row r="23" ht="15.5" customHeight="1">
      <c r="B23" s="319" t="inlineStr">
        <is>
          <t xml:space="preserve">  Equals: Adjusted Basis</t>
        </is>
      </c>
      <c r="D23" s="185">
        <f>D19-D20+D21-D22</f>
        <v/>
      </c>
      <c r="F23" s="319" t="inlineStr">
        <is>
          <t>Before-Tax Equity Reversion</t>
        </is>
      </c>
      <c r="H23" s="323">
        <f>D16</f>
        <v/>
      </c>
    </row>
    <row r="24">
      <c r="F24" s="319" t="inlineStr">
        <is>
          <t>Less:  Total Taxes on Sale</t>
        </is>
      </c>
      <c r="H24" s="322">
        <f>H20</f>
        <v/>
      </c>
    </row>
    <row r="25" ht="13" customHeight="1" thickBot="1">
      <c r="F25" s="319" t="inlineStr">
        <is>
          <t>After-tax Equity Reversion</t>
        </is>
      </c>
      <c r="H25" s="321">
        <f>H23-H24</f>
        <v/>
      </c>
    </row>
    <row r="26" ht="13" customHeight="1" thickTop="1"/>
    <row r="47">
      <c r="D47" s="320" t="n"/>
    </row>
  </sheetData>
  <pageMargins left="0.7" right="0.7" top="0.75" bottom="0.75" header="0.3" footer="0.3"/>
  <pageSetup orientation="portrait" scale="72"/>
</worksheet>
</file>

<file path=xl/worksheets/sheet6.xml><?xml version="1.0" encoding="utf-8"?>
<worksheet xmlns="http://schemas.openxmlformats.org/spreadsheetml/2006/main">
  <sheetPr>
    <tabColor theme="5"/>
    <outlinePr summaryBelow="1" summaryRight="1"/>
    <pageSetUpPr fitToPage="1"/>
  </sheetPr>
  <dimension ref="B1:P48"/>
  <sheetViews>
    <sheetView zoomScalePageLayoutView="90" workbookViewId="0">
      <selection activeCell="G16" sqref="G16"/>
    </sheetView>
  </sheetViews>
  <sheetFormatPr baseColWidth="8" defaultColWidth="7.75" defaultRowHeight="12.5"/>
  <cols>
    <col width="2.33203125" customWidth="1" style="295" min="1" max="1"/>
    <col width="7.75" customWidth="1" style="295" min="2" max="2"/>
    <col width="16.08203125" customWidth="1" style="295" min="3" max="3"/>
    <col width="12.5" customWidth="1" style="295" min="4" max="4"/>
    <col width="12" customWidth="1" style="295" min="5" max="11"/>
    <col width="20.58203125" bestFit="1" customWidth="1" style="295" min="12" max="12"/>
    <col width="7.75" customWidth="1" style="295" min="13" max="16384"/>
  </cols>
  <sheetData>
    <row r="1" ht="15.5" customHeight="1">
      <c r="B1" s="309" t="n"/>
      <c r="K1" s="309" t="n"/>
    </row>
    <row r="2" ht="16" customHeight="1" thickBot="1">
      <c r="B2" s="308" t="inlineStr">
        <is>
          <t>Crown Heights Investment Analysis</t>
        </is>
      </c>
      <c r="C2" s="306" t="n"/>
      <c r="D2" s="306" t="n"/>
      <c r="E2" s="306" t="n"/>
      <c r="F2" s="306" t="n"/>
      <c r="G2" s="307" t="n"/>
      <c r="H2" s="306" t="n"/>
      <c r="I2" s="306" t="n"/>
      <c r="J2" s="306" t="n"/>
      <c r="K2" s="306" t="n"/>
    </row>
    <row r="4">
      <c r="F4" s="305" t="inlineStr">
        <is>
          <t>Year 0</t>
        </is>
      </c>
      <c r="G4" s="305" t="inlineStr">
        <is>
          <t>Year 1</t>
        </is>
      </c>
      <c r="H4" s="305" t="inlineStr">
        <is>
          <t>Year 2</t>
        </is>
      </c>
      <c r="I4" s="305" t="inlineStr">
        <is>
          <t>Year 3</t>
        </is>
      </c>
      <c r="J4" s="305" t="inlineStr">
        <is>
          <t>Year 4</t>
        </is>
      </c>
      <c r="K4" s="305" t="inlineStr">
        <is>
          <t>Year 5</t>
        </is>
      </c>
    </row>
    <row r="5" ht="13" customHeight="1">
      <c r="B5" s="302" t="inlineStr">
        <is>
          <t>Overall Property Investment Decision</t>
        </is>
      </c>
    </row>
    <row r="6">
      <c r="C6" s="295" t="inlineStr">
        <is>
          <t>Initial Investment</t>
        </is>
      </c>
      <c r="F6" s="300">
        <f>-'Construction Loan'!J29</f>
        <v/>
      </c>
      <c r="G6" s="300" t="n"/>
      <c r="H6" s="300" t="n"/>
      <c r="I6" s="300" t="n"/>
      <c r="J6" s="300" t="n"/>
      <c r="K6" s="300" t="n"/>
    </row>
    <row r="7">
      <c r="C7" s="295" t="inlineStr">
        <is>
          <t>Total Cash Flows from Operations</t>
        </is>
      </c>
      <c r="F7" s="300" t="n"/>
      <c r="G7" s="300">
        <f>'Annual Cash Flow'!C22</f>
        <v/>
      </c>
      <c r="H7" s="300">
        <f>'Annual Cash Flow'!D22</f>
        <v/>
      </c>
      <c r="I7" s="300">
        <f>'Annual Cash Flow'!E22</f>
        <v/>
      </c>
      <c r="J7" s="300">
        <f>'Annual Cash Flow'!F22</f>
        <v/>
      </c>
      <c r="K7" s="300">
        <f>'Annual Cash Flow'!G22</f>
        <v/>
      </c>
    </row>
    <row r="8">
      <c r="C8" s="295" t="inlineStr">
        <is>
          <t>Net Sales Proceeds</t>
        </is>
      </c>
      <c r="F8" s="299" t="n"/>
      <c r="G8" s="299" t="n"/>
      <c r="H8" s="299" t="n"/>
      <c r="I8" s="299" t="n"/>
      <c r="J8" s="299" t="n"/>
      <c r="K8" s="299">
        <f>'Annual Cash Flow'!H18/'Pro Forma'!D75</f>
        <v/>
      </c>
      <c r="L8" s="474" t="n"/>
    </row>
    <row r="9" ht="13" customHeight="1" thickBot="1">
      <c r="C9" s="295" t="inlineStr">
        <is>
          <t xml:space="preserve">  Total Cash Flows</t>
        </is>
      </c>
      <c r="F9" s="298">
        <f>SUM(F6:F8)</f>
        <v/>
      </c>
      <c r="G9" s="298">
        <f>SUM(G6:G8)</f>
        <v/>
      </c>
      <c r="H9" s="298">
        <f>SUM(H6:H8)</f>
        <v/>
      </c>
      <c r="I9" s="298">
        <f>SUM(I6:I8)</f>
        <v/>
      </c>
      <c r="J9" s="298">
        <f>SUM(J6:J8)</f>
        <v/>
      </c>
      <c r="K9" s="298">
        <f>SUM(K6:K8)</f>
        <v/>
      </c>
    </row>
    <row r="10" ht="16.5" customHeight="1" thickBot="1" thickTop="1">
      <c r="D10" s="295" t="inlineStr">
        <is>
          <t>Cash Flow Dividend Rate</t>
        </is>
      </c>
      <c r="F10" s="475" t="n"/>
      <c r="G10" s="303">
        <f>-G7/$F$9</f>
        <v/>
      </c>
      <c r="H10" s="303">
        <f>-H7/$F$9</f>
        <v/>
      </c>
      <c r="I10" s="303">
        <f>-I7/$F$9</f>
        <v/>
      </c>
      <c r="J10" s="303">
        <f>-J7/$F$9</f>
        <v/>
      </c>
      <c r="K10" s="303">
        <f>-K7/$F$9</f>
        <v/>
      </c>
    </row>
    <row r="11">
      <c r="D11" s="330" t="inlineStr">
        <is>
          <t>NPV @ 10%</t>
        </is>
      </c>
      <c r="E11" s="476">
        <f>NPV(0.1,G9:K9)+F9</f>
        <v/>
      </c>
    </row>
    <row r="12" ht="13" customHeight="1" thickBot="1">
      <c r="D12" s="332" t="inlineStr">
        <is>
          <t>IRR</t>
        </is>
      </c>
      <c r="E12" s="414">
        <f>IRR(F9:K9)</f>
        <v/>
      </c>
    </row>
    <row r="14" ht="13" customHeight="1">
      <c r="B14" s="302" t="inlineStr">
        <is>
          <t>Equity Investment Decision - Before-Tax</t>
        </is>
      </c>
    </row>
    <row r="15">
      <c r="C15" s="295" t="inlineStr">
        <is>
          <t>Initial Equity Investment</t>
        </is>
      </c>
      <c r="F15" s="300">
        <f>-'Construction Loan'!I39</f>
        <v/>
      </c>
      <c r="G15" s="300" t="n"/>
      <c r="H15" s="300" t="n"/>
      <c r="I15" s="300" t="n"/>
      <c r="J15" s="300" t="n"/>
      <c r="K15" s="300" t="n"/>
    </row>
    <row r="16">
      <c r="C16" s="301" t="inlineStr">
        <is>
          <t>Before-Tax Cash Flows to Equity</t>
        </is>
      </c>
      <c r="F16" s="300" t="n"/>
      <c r="G16" s="300">
        <f>G7-G35</f>
        <v/>
      </c>
      <c r="H16" s="300">
        <f>H7-H35</f>
        <v/>
      </c>
      <c r="I16" s="300">
        <f>I7-I35</f>
        <v/>
      </c>
      <c r="J16" s="300">
        <f>J7-J35</f>
        <v/>
      </c>
      <c r="K16" s="300">
        <f>K7-K35</f>
        <v/>
      </c>
    </row>
    <row r="17">
      <c r="C17" s="301" t="inlineStr">
        <is>
          <t>Selling Expenses</t>
        </is>
      </c>
      <c r="F17" s="300" t="n"/>
      <c r="G17" s="300" t="n"/>
      <c r="H17" s="300" t="n"/>
      <c r="I17" s="300" t="n"/>
      <c r="J17" s="300" t="n"/>
      <c r="K17" s="300">
        <f>-Reversion!D10</f>
        <v/>
      </c>
    </row>
    <row r="18">
      <c r="C18" s="301" t="inlineStr">
        <is>
          <t>Before-Tax Equity Sales Proceeds</t>
        </is>
      </c>
      <c r="F18" s="299" t="n"/>
      <c r="G18" s="299" t="n"/>
      <c r="H18" s="299" t="n"/>
      <c r="I18" s="299" t="n"/>
      <c r="J18" s="299" t="n"/>
      <c r="K18" s="299">
        <f>Reversion!D16</f>
        <v/>
      </c>
    </row>
    <row r="19" ht="13" customHeight="1" thickBot="1">
      <c r="C19" s="295" t="inlineStr">
        <is>
          <t xml:space="preserve">  Total Cash Flows</t>
        </is>
      </c>
      <c r="F19" s="298">
        <f>SUM(F15:F18)</f>
        <v/>
      </c>
      <c r="G19" s="298">
        <f>SUM(G15:G18)</f>
        <v/>
      </c>
      <c r="H19" s="298">
        <f>SUM(H15:H18)</f>
        <v/>
      </c>
      <c r="I19" s="298">
        <f>SUM(I15:I18)</f>
        <v/>
      </c>
      <c r="J19" s="298">
        <f>SUM(J15:J18)</f>
        <v/>
      </c>
      <c r="K19" s="298">
        <f>SUM(K15:K18)</f>
        <v/>
      </c>
    </row>
    <row r="20" ht="16.5" customHeight="1" thickBot="1" thickTop="1">
      <c r="D20" s="301" t="inlineStr">
        <is>
          <t>Before-Tax Equity Dividend Rate</t>
        </is>
      </c>
      <c r="F20" s="475" t="n"/>
      <c r="G20" s="303">
        <f>-G16/$F$19</f>
        <v/>
      </c>
      <c r="H20" s="303">
        <f>-H16/$F$19</f>
        <v/>
      </c>
      <c r="I20" s="303">
        <f>-I16/$F$19</f>
        <v/>
      </c>
      <c r="J20" s="303">
        <f>-J16/$F$19</f>
        <v/>
      </c>
      <c r="K20" s="303">
        <f>-K16/$F$19</f>
        <v/>
      </c>
    </row>
    <row r="21">
      <c r="D21" s="334" t="inlineStr">
        <is>
          <t>NPV @ 14%</t>
        </is>
      </c>
      <c r="E21" s="477" t="n">
        <v>6640627.514857952</v>
      </c>
    </row>
    <row r="22" ht="13" customHeight="1" thickBot="1">
      <c r="D22" s="332" t="inlineStr">
        <is>
          <t>IRR</t>
        </is>
      </c>
      <c r="E22" s="333">
        <f>IRR(F19:K19)</f>
        <v/>
      </c>
    </row>
    <row r="24" ht="13" customHeight="1">
      <c r="B24" s="302" t="inlineStr">
        <is>
          <t>Equity Investment Decision - After-Tax</t>
        </is>
      </c>
    </row>
    <row r="25">
      <c r="C25" s="295" t="inlineStr">
        <is>
          <t>Initial Equity Investment</t>
        </is>
      </c>
      <c r="F25" s="300">
        <f>F15</f>
        <v/>
      </c>
      <c r="G25" s="300" t="n"/>
      <c r="H25" s="300" t="n"/>
      <c r="I25" s="300" t="n"/>
      <c r="J25" s="300" t="n"/>
      <c r="K25" s="300" t="n"/>
    </row>
    <row r="26">
      <c r="C26" s="301" t="inlineStr">
        <is>
          <t>After-Tax Cash Flows to Equity</t>
        </is>
      </c>
      <c r="F26" s="300" t="n"/>
      <c r="G26" s="300">
        <f>'Annual Cash Flow'!C28</f>
        <v/>
      </c>
      <c r="H26" s="300">
        <f>'Annual Cash Flow'!D28</f>
        <v/>
      </c>
      <c r="I26" s="300">
        <f>'Annual Cash Flow'!E28</f>
        <v/>
      </c>
      <c r="J26" s="300">
        <f>'Annual Cash Flow'!F28</f>
        <v/>
      </c>
      <c r="K26" s="300">
        <f>'Annual Cash Flow'!G28</f>
        <v/>
      </c>
    </row>
    <row r="27">
      <c r="C27" s="301" t="inlineStr">
        <is>
          <t>After-Tax Sales Proceeds to Equity</t>
        </is>
      </c>
      <c r="F27" s="299" t="n"/>
      <c r="G27" s="299" t="n"/>
      <c r="H27" s="299" t="n"/>
      <c r="I27" s="299" t="n"/>
      <c r="J27" s="299" t="n"/>
      <c r="K27" s="299">
        <f>Reversion!H25</f>
        <v/>
      </c>
    </row>
    <row r="28" ht="13" customHeight="1" thickBot="1">
      <c r="C28" s="295" t="inlineStr">
        <is>
          <t xml:space="preserve">  Total Cash Flows</t>
        </is>
      </c>
      <c r="F28" s="298">
        <f>SUM(F25:F27)</f>
        <v/>
      </c>
      <c r="G28" s="298">
        <f>SUM(G25:G27)</f>
        <v/>
      </c>
      <c r="H28" s="298">
        <f>SUM(H25:H27)</f>
        <v/>
      </c>
      <c r="I28" s="298">
        <f>SUM(I25:I27)</f>
        <v/>
      </c>
      <c r="J28" s="298">
        <f>SUM(J25:J27)</f>
        <v/>
      </c>
      <c r="K28" s="298">
        <f>SUM(K25:K27)</f>
        <v/>
      </c>
    </row>
    <row r="29" ht="16.5" customHeight="1" thickBot="1" thickTop="1">
      <c r="D29" s="301" t="inlineStr">
        <is>
          <t>After-Tax Equity Dividend Rate</t>
        </is>
      </c>
      <c r="F29" s="475" t="n"/>
      <c r="G29" s="303">
        <f>-G26/$F$19</f>
        <v/>
      </c>
      <c r="H29" s="303">
        <f>-H26/$F$19</f>
        <v/>
      </c>
      <c r="I29" s="303">
        <f>-I26/$F$19</f>
        <v/>
      </c>
      <c r="J29" s="303">
        <f>-J26/$F$19</f>
        <v/>
      </c>
      <c r="K29" s="303">
        <f>-K26/$F$19</f>
        <v/>
      </c>
    </row>
    <row r="30">
      <c r="D30" s="330" t="inlineStr">
        <is>
          <t>NPV @ 10.75%</t>
        </is>
      </c>
      <c r="E30" s="477" t="n">
        <v>6789515.153929677</v>
      </c>
    </row>
    <row r="31" ht="13" customHeight="1" thickBot="1">
      <c r="D31" s="332" t="inlineStr">
        <is>
          <t>IRR</t>
        </is>
      </c>
      <c r="E31" s="333">
        <f>IRR(F28:K28)</f>
        <v/>
      </c>
    </row>
    <row r="33" ht="13" customHeight="1">
      <c r="B33" s="302" t="inlineStr">
        <is>
          <t>Lender Yield</t>
        </is>
      </c>
    </row>
    <row r="34">
      <c r="C34" s="301" t="inlineStr">
        <is>
          <t>Initial Loan Amount plus Financing Costs</t>
        </is>
      </c>
      <c r="F34" s="300">
        <f>-('Pro Forma'!J48+'Pro Forma'!C54)</f>
        <v/>
      </c>
      <c r="G34" s="300" t="n"/>
      <c r="H34" s="300" t="n"/>
      <c r="I34" s="300" t="n"/>
      <c r="J34" s="300" t="n"/>
      <c r="K34" s="300" t="n"/>
    </row>
    <row r="35">
      <c r="C35" s="295" t="inlineStr">
        <is>
          <t>Annual Debt Service</t>
        </is>
      </c>
      <c r="F35" s="300" t="n"/>
      <c r="G35" s="300">
        <f>'Pro Forma'!D52</f>
        <v/>
      </c>
      <c r="H35" s="300">
        <f>G35</f>
        <v/>
      </c>
      <c r="I35" s="300">
        <f>H35</f>
        <v/>
      </c>
      <c r="J35" s="300">
        <f>I35</f>
        <v/>
      </c>
      <c r="K35" s="300">
        <f>J35</f>
        <v/>
      </c>
    </row>
    <row r="36">
      <c r="C36" s="295" t="inlineStr">
        <is>
          <t>Remaining Mortgage Balance</t>
        </is>
      </c>
      <c r="F36" s="299" t="n"/>
      <c r="G36" s="299" t="n"/>
      <c r="H36" s="299" t="n"/>
      <c r="I36" s="299" t="n"/>
      <c r="J36" s="299" t="n"/>
      <c r="K36" s="299">
        <f>'Pro Forma'!J53</f>
        <v/>
      </c>
    </row>
    <row r="37" ht="13" customHeight="1" thickBot="1">
      <c r="C37" s="295" t="inlineStr">
        <is>
          <t xml:space="preserve">  Total Cash Flows</t>
        </is>
      </c>
      <c r="F37" s="298">
        <f>SUM(F34:F36)</f>
        <v/>
      </c>
      <c r="G37" s="298">
        <f>SUM(G34:G36)</f>
        <v/>
      </c>
      <c r="H37" s="298">
        <f>SUM(H34:H36)</f>
        <v/>
      </c>
      <c r="I37" s="298">
        <f>SUM(I34:I36)</f>
        <v/>
      </c>
      <c r="J37" s="298">
        <f>SUM(J34:J36)</f>
        <v/>
      </c>
      <c r="K37" s="298">
        <f>SUM(K34:K36)</f>
        <v/>
      </c>
    </row>
    <row r="38" ht="16.5" customHeight="1" thickBot="1" thickTop="1">
      <c r="D38" s="295" t="inlineStr">
        <is>
          <t>Debt Coverage Ratio</t>
        </is>
      </c>
      <c r="G38" s="297">
        <f>G7/G35</f>
        <v/>
      </c>
      <c r="H38" s="297">
        <f>H7/H35</f>
        <v/>
      </c>
      <c r="I38" s="297">
        <f>I7/I35</f>
        <v/>
      </c>
      <c r="J38" s="297">
        <f>J7/J35</f>
        <v/>
      </c>
      <c r="K38" s="297">
        <f>K7/K35</f>
        <v/>
      </c>
      <c r="L38" s="297" t="n"/>
      <c r="M38" s="297" t="n"/>
      <c r="N38" s="297" t="n"/>
      <c r="O38" s="297" t="n"/>
      <c r="P38" s="297" t="n"/>
    </row>
    <row r="39" ht="13" customHeight="1" thickBot="1">
      <c r="D39" s="335" t="inlineStr">
        <is>
          <t>IRR</t>
        </is>
      </c>
      <c r="E39" s="336">
        <f>IRR(F37:K37)</f>
        <v/>
      </c>
    </row>
    <row r="42">
      <c r="G42" s="300" t="n"/>
      <c r="H42" s="300" t="n"/>
      <c r="I42" s="300" t="n"/>
      <c r="J42" s="300" t="n"/>
      <c r="K42" s="300" t="n"/>
    </row>
    <row r="46">
      <c r="F46" s="300" t="n"/>
      <c r="G46" s="300" t="n"/>
      <c r="H46" s="300" t="n"/>
      <c r="I46" s="300" t="n"/>
      <c r="J46" s="300" t="n"/>
      <c r="K46" s="300" t="n"/>
    </row>
    <row r="47">
      <c r="D47" s="296" t="n"/>
      <c r="G47" s="300" t="n"/>
      <c r="H47" s="300" t="n"/>
      <c r="I47" s="300" t="n"/>
      <c r="J47" s="300" t="n"/>
      <c r="K47" s="300" t="n"/>
    </row>
    <row r="48">
      <c r="G48" s="300" t="n"/>
      <c r="H48" s="300" t="n"/>
      <c r="I48" s="300" t="n"/>
      <c r="J48" s="300" t="n"/>
      <c r="K48" s="300" t="n"/>
    </row>
  </sheetData>
  <pageMargins left="0.75" right="0.75" top="1" bottom="1" header="0.5" footer="0.5"/>
  <pageSetup orientation="landscape" scale="89"/>
</worksheet>
</file>

<file path=xl/worksheets/sheet7.xml><?xml version="1.0" encoding="utf-8"?>
<worksheet xmlns="http://schemas.openxmlformats.org/spreadsheetml/2006/main">
  <sheetPr>
    <tabColor rgb="FF00B0F0"/>
    <outlinePr summaryBelow="1" summaryRight="1"/>
    <pageSetUpPr/>
  </sheetPr>
  <dimension ref="A1:BN138"/>
  <sheetViews>
    <sheetView zoomScaleNormal="100" zoomScalePageLayoutView="125" workbookViewId="0">
      <selection activeCell="D19" sqref="D19"/>
    </sheetView>
  </sheetViews>
  <sheetFormatPr baseColWidth="8" defaultColWidth="7.75" defaultRowHeight="14.5"/>
  <cols>
    <col width="8.75" bestFit="1" customWidth="1" style="239" min="1" max="1"/>
    <col width="7.75" customWidth="1" style="239" min="2" max="2"/>
    <col width="24.83203125" customWidth="1" style="239" min="3" max="3"/>
    <col width="12.25" customWidth="1" style="239" min="4" max="4"/>
    <col width="12.75" customWidth="1" style="239" min="5" max="5"/>
    <col width="11.75" customWidth="1" style="239" min="6" max="6"/>
    <col width="13.75" customWidth="1" style="239" min="7" max="7"/>
    <col width="17.75" customWidth="1" style="239" min="8" max="8"/>
    <col width="21.75" customWidth="1" style="239" min="9" max="9"/>
    <col width="8.25" bestFit="1" customWidth="1" style="239" min="10" max="10"/>
    <col width="14.25" customWidth="1" style="239" min="11" max="11"/>
    <col width="11.83203125" customWidth="1" style="239" min="12" max="12"/>
    <col width="12.25" customWidth="1" style="239" min="13" max="13"/>
    <col width="9.75" customWidth="1" style="239" min="14" max="14"/>
    <col width="7.75" customWidth="1" style="239" min="15" max="16384"/>
  </cols>
  <sheetData>
    <row r="1" ht="18.5" customHeight="1">
      <c r="A1" s="238" t="inlineStr">
        <is>
          <t>AoRa Development</t>
        </is>
      </c>
      <c r="B1" s="238" t="n"/>
      <c r="C1" s="238" t="n"/>
      <c r="D1" s="238" t="inlineStr">
        <is>
          <t>Project Cost Breakdown ($USD)</t>
        </is>
      </c>
      <c r="E1" s="238" t="n"/>
      <c r="F1" s="238" t="n"/>
      <c r="G1" s="238" t="n"/>
      <c r="H1" s="238" t="inlineStr">
        <is>
          <t>24 Months Total</t>
        </is>
      </c>
      <c r="I1" s="238" t="n"/>
    </row>
    <row r="2">
      <c r="D2" s="240" t="inlineStr">
        <is>
          <t>(Does not include financing costs)</t>
        </is>
      </c>
    </row>
    <row r="3">
      <c r="D3" s="240" t="n"/>
    </row>
    <row r="4" ht="18.5" customHeight="1">
      <c r="A4" s="238" t="inlineStr">
        <is>
          <t>Start Up/Mobilization Phase I</t>
        </is>
      </c>
      <c r="H4" s="238" t="inlineStr">
        <is>
          <t xml:space="preserve">3 Months Due Diligence </t>
        </is>
      </c>
    </row>
    <row r="5" ht="15.5" customHeight="1">
      <c r="A5" s="241" t="inlineStr">
        <is>
          <t>Site Acquisition - Franklin Ave, Prospect Place and Park Place Addresses</t>
        </is>
      </c>
      <c r="B5" s="241" t="n"/>
    </row>
    <row r="7" ht="18.5" customHeight="1">
      <c r="A7" s="239" t="inlineStr">
        <is>
          <t>Construction MGT Mobilization</t>
        </is>
      </c>
      <c r="B7" s="241" t="n"/>
      <c r="D7" s="242">
        <f>SUM(K7*0.2)</f>
        <v/>
      </c>
      <c r="E7" s="239" t="inlineStr">
        <is>
          <t>(20% of 3.5% of Hard/Specialty Cost Calculations)</t>
        </is>
      </c>
      <c r="J7" s="243" t="inlineStr">
        <is>
          <t>(Project Total CM  Fee)</t>
        </is>
      </c>
      <c r="K7" s="478">
        <f>SUM('Construction Loan'!J24:J24)*0.035</f>
        <v/>
      </c>
    </row>
    <row r="8">
      <c r="A8" s="239" t="inlineStr">
        <is>
          <t>Earnest Money Deposit</t>
        </is>
      </c>
      <c r="D8" s="242">
        <f>SUM('Construction Loan'!J23)*0.05</f>
        <v/>
      </c>
    </row>
    <row r="9">
      <c r="A9" s="239" t="inlineStr">
        <is>
          <t>Legal Fees - Retainer</t>
        </is>
      </c>
      <c r="D9" s="242">
        <f>SUM('Soft Costs'!D5)*0.5</f>
        <v/>
      </c>
    </row>
    <row r="10">
      <c r="A10" s="239" t="inlineStr">
        <is>
          <t>Environmental Analysis</t>
        </is>
      </c>
      <c r="D10" s="242">
        <f>'Soft Costs'!D9</f>
        <v/>
      </c>
    </row>
    <row r="11" ht="15.5" customHeight="1">
      <c r="A11" s="239" t="inlineStr">
        <is>
          <t>Property Survey</t>
        </is>
      </c>
      <c r="D11" s="242">
        <f>'Soft Costs'!D12</f>
        <v/>
      </c>
      <c r="J11" s="241" t="n"/>
    </row>
    <row r="12">
      <c r="A12" s="239" t="inlineStr">
        <is>
          <t>Appraisal</t>
        </is>
      </c>
      <c r="D12" s="242">
        <f>'Soft Costs'!D3</f>
        <v/>
      </c>
    </row>
    <row r="13">
      <c r="A13" s="239" t="inlineStr">
        <is>
          <t>Title Insurance</t>
        </is>
      </c>
      <c r="D13" s="242">
        <f>'Soft Costs'!D15</f>
        <v/>
      </c>
    </row>
    <row r="14" ht="15" customHeight="1" thickBot="1">
      <c r="A14" s="239" t="inlineStr">
        <is>
          <t>Property Insurance</t>
        </is>
      </c>
      <c r="D14" s="242">
        <f>'Soft Costs'!D16</f>
        <v/>
      </c>
    </row>
    <row r="15">
      <c r="C15" s="240" t="inlineStr">
        <is>
          <t xml:space="preserve">Sub-Total </t>
        </is>
      </c>
      <c r="D15" s="245">
        <f>SUM(D7:D14)</f>
        <v/>
      </c>
      <c r="E15" s="240">
        <f>A5</f>
        <v/>
      </c>
      <c r="F15" s="240" t="n"/>
      <c r="G15" s="240" t="n"/>
    </row>
    <row r="16">
      <c r="C16" s="240" t="n"/>
      <c r="D16" s="479" t="n"/>
      <c r="E16" s="240" t="n"/>
      <c r="F16" s="240" t="n"/>
      <c r="G16" s="240" t="n"/>
    </row>
    <row r="17" ht="15.5" customHeight="1">
      <c r="A17" s="241" t="inlineStr">
        <is>
          <t>Site Acquisition/Closings</t>
        </is>
      </c>
      <c r="B17" s="241" t="n"/>
      <c r="D17" s="242" t="n"/>
    </row>
    <row r="18">
      <c r="A18" s="239" t="inlineStr">
        <is>
          <t>Property Purchase</t>
        </is>
      </c>
      <c r="D18" s="242" t="n">
        <v>9750000</v>
      </c>
    </row>
    <row r="19">
      <c r="A19" s="239">
        <f>'Soft Costs'!A22</f>
        <v/>
      </c>
      <c r="D19" s="425" t="inlineStr">
        <is>
          <t> </t>
        </is>
      </c>
    </row>
    <row r="20">
      <c r="A20" s="239" t="inlineStr">
        <is>
          <t>Property taxes</t>
        </is>
      </c>
      <c r="D20" s="242">
        <f>SUM('Soft Costs'!D13)*0.25</f>
        <v/>
      </c>
      <c r="E20" s="242" t="n"/>
      <c r="F20" s="242" t="n"/>
      <c r="G20" s="242">
        <f>D20*4</f>
        <v/>
      </c>
      <c r="I20" s="415" t="inlineStr">
        <is>
          <t>(Paid Quarterly)</t>
        </is>
      </c>
    </row>
    <row r="21">
      <c r="A21" s="239" t="inlineStr">
        <is>
          <t>Acquisition Fee</t>
        </is>
      </c>
      <c r="D21" s="242">
        <f>SUM(0.02*'Construction Loan'!J23)</f>
        <v/>
      </c>
      <c r="E21" s="253" t="inlineStr">
        <is>
          <t>2% of Dev Cost - Paid at Closing</t>
        </is>
      </c>
    </row>
    <row r="22">
      <c r="A22" s="415" t="inlineStr">
        <is>
          <t>Mortgage Tax</t>
        </is>
      </c>
      <c r="D22" s="242">
        <f>'Soft Costs'!D14</f>
        <v/>
      </c>
      <c r="E22" s="253" t="n"/>
    </row>
    <row r="23" ht="20.65" customHeight="1" thickBot="1">
      <c r="A23" s="415">
        <f>'Soft Costs'!#REF!</f>
        <v/>
      </c>
      <c r="D23" s="242">
        <f>'Soft Costs'!#REF!</f>
        <v/>
      </c>
      <c r="E23" s="253" t="n"/>
    </row>
    <row r="24" ht="26.65" customHeight="1" thickBot="1">
      <c r="C24" s="248" t="inlineStr">
        <is>
          <t xml:space="preserve">Sub-Total </t>
        </is>
      </c>
      <c r="D24" s="245">
        <f>SUM(D18:D21)</f>
        <v/>
      </c>
      <c r="E24" s="248">
        <f>A17</f>
        <v/>
      </c>
      <c r="F24" s="248" t="n"/>
      <c r="G24" s="240" t="n"/>
    </row>
    <row r="25" ht="17.5" customHeight="1" thickBot="1">
      <c r="B25" s="249" t="inlineStr">
        <is>
          <t>Subtotal Mobilization and Property Acquisition</t>
        </is>
      </c>
      <c r="C25" s="250" t="n"/>
      <c r="D25" s="251" t="n"/>
      <c r="H25" s="252">
        <f>SUM(D24+D15)</f>
        <v/>
      </c>
      <c r="I25" s="241" t="inlineStr">
        <is>
          <t>(Initial Start Up and Acquisition Funds Needed)</t>
        </is>
      </c>
    </row>
    <row r="26" ht="17" customHeight="1">
      <c r="A26" s="249" t="n"/>
      <c r="B26" s="250" t="n"/>
      <c r="C26" s="250" t="n"/>
      <c r="D26" s="251" t="n"/>
      <c r="G26" s="251" t="n"/>
    </row>
    <row r="27">
      <c r="B27" s="253" t="n"/>
      <c r="D27" s="242" t="n"/>
    </row>
    <row r="28" ht="18.5" customHeight="1">
      <c r="A28" s="238" t="inlineStr">
        <is>
          <t>Design Phase</t>
        </is>
      </c>
      <c r="D28" s="242" t="n"/>
      <c r="H28" s="238" t="inlineStr">
        <is>
          <t>6 Months Design and Engineering</t>
        </is>
      </c>
    </row>
    <row r="29">
      <c r="A29" s="240" t="inlineStr">
        <is>
          <t>Design Mobilization</t>
        </is>
      </c>
      <c r="D29" s="242" t="n"/>
      <c r="H29" s="239" t="inlineStr">
        <is>
          <t>1 month</t>
        </is>
      </c>
    </row>
    <row r="30">
      <c r="A30" s="279" t="inlineStr">
        <is>
          <t>Design Team (Architects' retainer 15%)</t>
        </is>
      </c>
      <c r="D30" s="242">
        <f>SUM('Soft Costs'!D4)*0.15</f>
        <v/>
      </c>
      <c r="G30" s="242">
        <f>D30</f>
        <v/>
      </c>
    </row>
    <row r="31">
      <c r="A31" s="239" t="inlineStr">
        <is>
          <t>Structural engineer</t>
        </is>
      </c>
      <c r="D31" s="242">
        <f>SUM('Soft Costs'!D6)*0.2</f>
        <v/>
      </c>
      <c r="G31" s="242">
        <f>D31</f>
        <v/>
      </c>
    </row>
    <row r="32">
      <c r="A32" s="239" t="inlineStr">
        <is>
          <t>Energy efficiency consultant</t>
        </is>
      </c>
      <c r="D32" s="254" t="inlineStr">
        <is>
          <t>NYSERDA</t>
        </is>
      </c>
      <c r="G32" s="254" t="inlineStr">
        <is>
          <t>NYSERDA</t>
        </is>
      </c>
    </row>
    <row r="33">
      <c r="A33" s="239" t="inlineStr">
        <is>
          <t>Renewable Energy/HVAC/Solar</t>
        </is>
      </c>
      <c r="D33" s="254">
        <f>SUM('Specialty Costs RES'!D5+'Specialty Costs RES'!D6+'Specialty Costs RES'!D8)*0.2</f>
        <v/>
      </c>
      <c r="G33" s="254">
        <f>D33</f>
        <v/>
      </c>
    </row>
    <row r="34" customFormat="1" s="240">
      <c r="A34" s="239" t="inlineStr">
        <is>
          <t>Construction MGT - Design Phase</t>
        </is>
      </c>
      <c r="B34" s="239" t="n"/>
      <c r="C34" s="239" t="n"/>
      <c r="D34" s="254">
        <f>SUM(K7*0.1)</f>
        <v/>
      </c>
      <c r="E34" s="239" t="n"/>
      <c r="F34" s="239" t="n"/>
      <c r="G34" s="254">
        <f>D34</f>
        <v/>
      </c>
      <c r="H34" s="239" t="n"/>
      <c r="I34" s="239" t="n"/>
    </row>
    <row r="35">
      <c r="A35" s="240" t="n"/>
      <c r="B35" s="240" t="n"/>
      <c r="C35" s="240" t="n"/>
      <c r="D35" s="240" t="n"/>
      <c r="E35" s="240" t="n"/>
      <c r="F35" s="240" t="n"/>
      <c r="G35" s="240" t="n"/>
      <c r="H35" s="240" t="n"/>
      <c r="I35" s="240" t="n"/>
    </row>
    <row r="36" ht="15.5" customHeight="1">
      <c r="A36" s="241" t="inlineStr">
        <is>
          <t>Design Existing Conditions</t>
        </is>
      </c>
      <c r="D36" s="242" t="n"/>
      <c r="H36" s="239" t="inlineStr">
        <is>
          <t>1 months</t>
        </is>
      </c>
    </row>
    <row r="37">
      <c r="A37" s="239" t="inlineStr">
        <is>
          <t xml:space="preserve">Design Team </t>
        </is>
      </c>
      <c r="D37" s="242">
        <f>D30</f>
        <v/>
      </c>
      <c r="G37" s="242">
        <f>D37</f>
        <v/>
      </c>
    </row>
    <row r="38">
      <c r="A38" s="239" t="inlineStr">
        <is>
          <t>Structural Engineer</t>
        </is>
      </c>
      <c r="D38" s="289" t="inlineStr">
        <is>
          <t>Included</t>
        </is>
      </c>
      <c r="E38" s="290" t="n"/>
      <c r="F38" s="290" t="n"/>
      <c r="G38" s="291">
        <f>D38</f>
        <v/>
      </c>
    </row>
    <row r="39">
      <c r="A39" s="239" t="inlineStr">
        <is>
          <t>Vertical Transportation</t>
        </is>
      </c>
      <c r="C39" s="253" t="n"/>
      <c r="D39" s="239">
        <f>SUM('Specialty Costs RES'!D4)*0.33</f>
        <v/>
      </c>
      <c r="G39" s="480">
        <f>D39</f>
        <v/>
      </c>
    </row>
    <row r="40">
      <c r="D40" s="242" t="n"/>
    </row>
    <row r="41" ht="15.5" customHeight="1">
      <c r="A41" s="241" t="inlineStr">
        <is>
          <t>Schematic Design</t>
        </is>
      </c>
      <c r="H41" s="239" t="inlineStr">
        <is>
          <t>1 months</t>
        </is>
      </c>
    </row>
    <row r="42">
      <c r="A42" s="239" t="inlineStr">
        <is>
          <t xml:space="preserve">Design Team </t>
        </is>
      </c>
      <c r="D42" s="242">
        <f>SUM('Soft Costs'!D4)*0.1</f>
        <v/>
      </c>
      <c r="G42" s="242">
        <f>D42</f>
        <v/>
      </c>
    </row>
    <row r="43">
      <c r="A43" s="239" t="inlineStr">
        <is>
          <t>Structural Engineer</t>
        </is>
      </c>
      <c r="D43" s="289" t="inlineStr">
        <is>
          <t>Included</t>
        </is>
      </c>
      <c r="E43" s="290" t="n"/>
      <c r="F43" s="290" t="n"/>
      <c r="G43" s="291">
        <f>D43</f>
        <v/>
      </c>
    </row>
    <row r="44">
      <c r="A44" s="239" t="inlineStr">
        <is>
          <t>Renewable Energy/HVAC/Solar</t>
        </is>
      </c>
      <c r="D44" s="254">
        <f>D33</f>
        <v/>
      </c>
      <c r="G44" s="242">
        <f>D44</f>
        <v/>
      </c>
    </row>
    <row r="46" ht="15.5" customHeight="1">
      <c r="A46" s="241" t="inlineStr">
        <is>
          <t>Design Development</t>
        </is>
      </c>
      <c r="D46" s="242" t="n"/>
      <c r="H46" s="239" t="inlineStr">
        <is>
          <t>1 months</t>
        </is>
      </c>
    </row>
    <row r="47">
      <c r="A47" s="239" t="inlineStr">
        <is>
          <t xml:space="preserve">Design Team </t>
        </is>
      </c>
      <c r="D47" s="242">
        <f>SUM('Soft Costs'!D4)*0.2</f>
        <v/>
      </c>
      <c r="G47" s="242">
        <f>D47</f>
        <v/>
      </c>
    </row>
    <row r="48">
      <c r="A48" s="239" t="inlineStr">
        <is>
          <t>Structural Engineer</t>
        </is>
      </c>
      <c r="D48" s="289" t="inlineStr">
        <is>
          <t>Included</t>
        </is>
      </c>
      <c r="E48" s="290" t="n"/>
      <c r="F48" s="290" t="n"/>
      <c r="G48" s="291">
        <f>D48</f>
        <v/>
      </c>
    </row>
    <row r="50" ht="15.5" customHeight="1">
      <c r="A50" s="241" t="inlineStr">
        <is>
          <t>Construction Documents</t>
        </is>
      </c>
      <c r="D50" s="242" t="n"/>
      <c r="H50" s="239" t="inlineStr">
        <is>
          <t>2 months</t>
        </is>
      </c>
      <c r="J50" s="480" t="n"/>
      <c r="L50" s="242" t="n"/>
    </row>
    <row r="51">
      <c r="A51" s="239" t="inlineStr">
        <is>
          <t>Design team</t>
        </is>
      </c>
      <c r="D51" s="242">
        <f>SUM('Soft Costs'!D4-G47-G42-G37-G30)*0.4/2</f>
        <v/>
      </c>
      <c r="E51" s="239" t="inlineStr">
        <is>
          <t>Monthly</t>
        </is>
      </c>
      <c r="G51" s="242">
        <f>D51*2</f>
        <v/>
      </c>
      <c r="I51" s="242" t="n"/>
      <c r="J51" s="480" t="n"/>
    </row>
    <row r="52">
      <c r="A52" s="239" t="inlineStr">
        <is>
          <t>Structural Engineer</t>
        </is>
      </c>
      <c r="D52" s="289" t="inlineStr">
        <is>
          <t>Included</t>
        </is>
      </c>
      <c r="E52" s="290" t="n"/>
      <c r="F52" s="290" t="n"/>
      <c r="G52" s="291">
        <f>D52</f>
        <v/>
      </c>
      <c r="I52" s="242" t="n"/>
    </row>
    <row r="53">
      <c r="A53" s="239" t="inlineStr">
        <is>
          <t>Renewable Energy/HVAC/Solar</t>
        </is>
      </c>
      <c r="D53" s="242">
        <f>D44</f>
        <v/>
      </c>
      <c r="G53" s="242">
        <f>D53*2</f>
        <v/>
      </c>
    </row>
    <row r="54" ht="19" customFormat="1" customHeight="1" s="256" thickBot="1">
      <c r="A54" s="239" t="inlineStr">
        <is>
          <t>Vertical Transportation (Elevators)</t>
        </is>
      </c>
      <c r="B54" s="239" t="n"/>
      <c r="C54" s="239" t="n"/>
      <c r="D54" s="242">
        <f>G54/2</f>
        <v/>
      </c>
      <c r="E54" s="239" t="n"/>
      <c r="F54" s="239" t="n"/>
      <c r="G54" s="242">
        <f>SUM('Specialty Costs RES'!D4)*0.25</f>
        <v/>
      </c>
      <c r="H54" s="239" t="n"/>
      <c r="I54" s="239" t="n"/>
    </row>
    <row r="55" ht="19" customHeight="1" thickBot="1">
      <c r="A55" s="256" t="n"/>
      <c r="B55" s="238" t="inlineStr">
        <is>
          <t>Subtotal Design and Engineering</t>
        </is>
      </c>
      <c r="C55" s="256" t="n"/>
      <c r="D55" s="257" t="n"/>
      <c r="E55" s="256" t="n"/>
      <c r="F55" s="256" t="n"/>
      <c r="G55" s="252">
        <f>SUM(G30:G54)</f>
        <v/>
      </c>
      <c r="H55" s="256" t="n"/>
      <c r="I55" s="256" t="n"/>
    </row>
    <row r="56" ht="18.5" customFormat="1" customHeight="1" s="238">
      <c r="A56" s="239" t="n"/>
      <c r="B56" s="239" t="n"/>
      <c r="C56" s="239" t="n"/>
      <c r="D56" s="239" t="n"/>
      <c r="E56" s="239" t="n"/>
      <c r="F56" s="239" t="n"/>
      <c r="G56" s="239" t="n"/>
      <c r="H56" s="239" t="n"/>
      <c r="I56" s="239" t="n"/>
    </row>
    <row r="57" ht="18.5" customHeight="1">
      <c r="A57" s="238" t="inlineStr">
        <is>
          <t>Department of Buildings - Permitting</t>
        </is>
      </c>
      <c r="B57" s="238" t="n"/>
      <c r="C57" s="238" t="n"/>
      <c r="D57" s="238" t="n"/>
      <c r="E57" s="238" t="n"/>
      <c r="F57" s="238" t="n"/>
      <c r="G57" s="238" t="n"/>
      <c r="H57" s="238" t="inlineStr">
        <is>
          <t>4 months</t>
        </is>
      </c>
      <c r="I57" s="238" t="inlineStr">
        <is>
          <t>(Overlaps with Design, Engineering and Mobilization by 2 Months)</t>
        </is>
      </c>
    </row>
    <row r="58">
      <c r="A58" s="239" t="inlineStr">
        <is>
          <t>Expediter/Code Consultant</t>
        </is>
      </c>
      <c r="D58" s="242">
        <f>SUM('Soft Costs'!D10)*0.85</f>
        <v/>
      </c>
      <c r="E58" s="242" t="inlineStr">
        <is>
          <t>1 Month</t>
        </is>
      </c>
      <c r="F58" s="242" t="n"/>
      <c r="G58" s="242">
        <f>D58</f>
        <v/>
      </c>
    </row>
    <row r="59">
      <c r="A59" s="239" t="inlineStr">
        <is>
          <t>Permit fees</t>
        </is>
      </c>
      <c r="D59" s="242">
        <f>SUM('Soft Costs'!D11)*0.5</f>
        <v/>
      </c>
      <c r="E59" s="242" t="n"/>
      <c r="F59" s="242" t="n"/>
      <c r="G59" s="242">
        <f>D59*2</f>
        <v/>
      </c>
      <c r="I59" s="239" t="inlineStr">
        <is>
          <t>(Two Installments)</t>
        </is>
      </c>
    </row>
    <row r="60">
      <c r="A60" s="240" t="inlineStr">
        <is>
          <t>Plans Exam Fee</t>
        </is>
      </c>
      <c r="D60" s="242">
        <f>SUM(25*150)</f>
        <v/>
      </c>
      <c r="E60" s="242" t="n"/>
      <c r="F60" s="242" t="n"/>
      <c r="G60" s="242">
        <f>D60</f>
        <v/>
      </c>
      <c r="I60" s="239" t="inlineStr">
        <is>
          <t xml:space="preserve">(Estimated at 25 hours, Part of the Other Professional Fees) </t>
        </is>
      </c>
    </row>
    <row r="61">
      <c r="A61" s="240" t="inlineStr">
        <is>
          <t>Demo Permit</t>
        </is>
      </c>
      <c r="D61" s="242" t="n">
        <v>1500</v>
      </c>
      <c r="E61" s="242" t="n"/>
      <c r="F61" s="242" t="n"/>
      <c r="G61" s="242">
        <f>D61</f>
        <v/>
      </c>
      <c r="I61" s="239" t="inlineStr">
        <is>
          <t xml:space="preserve">(Part of the Other Professional Fees) </t>
        </is>
      </c>
    </row>
    <row r="62">
      <c r="A62" s="239" t="inlineStr">
        <is>
          <t>Legal fees</t>
        </is>
      </c>
      <c r="D62" s="242">
        <f>SUM('Soft Costs'!D5)*0.2</f>
        <v/>
      </c>
      <c r="E62" s="242" t="n"/>
      <c r="F62" s="242" t="n"/>
      <c r="G62" s="242">
        <f>D62</f>
        <v/>
      </c>
      <c r="I62" s="239" t="inlineStr">
        <is>
          <t>(Portion of Legal Fees)</t>
        </is>
      </c>
    </row>
    <row r="63">
      <c r="A63" s="240" t="inlineStr">
        <is>
          <t>Misc DOB fees</t>
        </is>
      </c>
      <c r="D63" s="242">
        <f>SUM('Soft Costs'!D21*0.9)-G61-G60</f>
        <v/>
      </c>
      <c r="E63" s="242" t="n"/>
      <c r="F63" s="242" t="n"/>
      <c r="G63" s="242">
        <f>D63</f>
        <v/>
      </c>
      <c r="I63" s="239" t="inlineStr">
        <is>
          <t xml:space="preserve">(Part of the Other Professional Fees) </t>
        </is>
      </c>
    </row>
    <row r="64" ht="15" customHeight="1" thickBot="1">
      <c r="A64" s="239" t="inlineStr">
        <is>
          <t>Marketing</t>
        </is>
      </c>
      <c r="D64" s="242">
        <f>SUM('Soft Costs'!D18*0.5)</f>
        <v/>
      </c>
      <c r="E64" s="242" t="n"/>
      <c r="F64" s="242" t="n"/>
      <c r="G64" s="242">
        <f>D64</f>
        <v/>
      </c>
    </row>
    <row r="65" ht="19" customFormat="1" customHeight="1" s="238" thickBot="1">
      <c r="A65" s="238" t="inlineStr">
        <is>
          <t>Subtotal DOB - Permitting</t>
        </is>
      </c>
      <c r="D65" s="252">
        <f>SUM(D58:D64)</f>
        <v/>
      </c>
      <c r="E65" s="259" t="n"/>
      <c r="F65" s="259" t="n"/>
      <c r="G65" s="271">
        <f>SUM(G58:G64)</f>
        <v/>
      </c>
    </row>
    <row r="66" ht="19" customFormat="1" customHeight="1" s="238" thickBot="1">
      <c r="D66" s="259" t="n"/>
      <c r="E66" s="259" t="n"/>
      <c r="F66" s="259" t="n"/>
      <c r="G66" s="251" t="n"/>
    </row>
    <row r="67" ht="19" customFormat="1" customHeight="1" s="256" thickBot="1">
      <c r="E67" s="249" t="inlineStr">
        <is>
          <t>Subtotal of Above</t>
        </is>
      </c>
      <c r="H67" s="252">
        <f>SUM(G65+G55+H25)</f>
        <v/>
      </c>
      <c r="I67" s="238" t="inlineStr">
        <is>
          <t>(Permitting, Design, Engineering and Mobilization)</t>
        </is>
      </c>
    </row>
    <row r="68" ht="19" customFormat="1" customHeight="1" s="256" thickBot="1">
      <c r="D68" s="249" t="n"/>
      <c r="H68" s="259" t="n"/>
      <c r="I68" s="238" t="n"/>
    </row>
    <row r="69" ht="18" customFormat="1" customHeight="1" s="240" thickBot="1">
      <c r="A69" s="266" t="inlineStr">
        <is>
          <t>In this model, a reasonable percentage of the applicable service providers' fees (legal, design team, etc) is retained for the Close-Out process.</t>
        </is>
      </c>
      <c r="B69" s="267" t="n"/>
      <c r="C69" s="267" t="n"/>
      <c r="D69" s="267" t="n"/>
      <c r="E69" s="267" t="n"/>
      <c r="F69" s="267" t="n"/>
      <c r="G69" s="267" t="n"/>
      <c r="H69" s="267" t="n"/>
      <c r="I69" s="267" t="n"/>
      <c r="J69" s="267" t="n"/>
      <c r="K69" s="267" t="n"/>
      <c r="L69" s="267" t="n"/>
      <c r="M69" s="267" t="n"/>
      <c r="N69" s="267" t="n"/>
      <c r="O69" s="268" t="n"/>
      <c r="P69" s="260" t="n"/>
      <c r="Q69" s="260" t="n"/>
      <c r="R69" s="260" t="n"/>
      <c r="S69" s="260" t="n"/>
      <c r="T69" s="260" t="n"/>
      <c r="U69" s="260" t="n"/>
      <c r="V69" s="260" t="n"/>
      <c r="W69" s="260" t="n"/>
      <c r="X69" s="260" t="n"/>
      <c r="Y69" s="260" t="n"/>
      <c r="Z69" s="260" t="n"/>
      <c r="AA69" s="260" t="n"/>
      <c r="AB69" s="260" t="n"/>
      <c r="AC69" s="260" t="n"/>
      <c r="AD69" s="260" t="n"/>
      <c r="AE69" s="260" t="n"/>
      <c r="AF69" s="260" t="n"/>
      <c r="AG69" s="260" t="n"/>
      <c r="AH69" s="260" t="n"/>
      <c r="AI69" s="260" t="n"/>
      <c r="AJ69" s="260" t="n"/>
      <c r="AK69" s="260" t="n"/>
      <c r="AL69" s="260" t="n"/>
      <c r="AM69" s="260" t="n"/>
      <c r="AN69" s="260" t="n"/>
      <c r="AO69" s="260" t="n"/>
      <c r="AP69" s="260" t="n"/>
      <c r="AQ69" s="260" t="n"/>
      <c r="AR69" s="260" t="n"/>
      <c r="AS69" s="260" t="n"/>
      <c r="AT69" s="260" t="n"/>
      <c r="AU69" s="260" t="n"/>
      <c r="AV69" s="260" t="n"/>
      <c r="AW69" s="260" t="n"/>
      <c r="AX69" s="260" t="n"/>
      <c r="AY69" s="260" t="n"/>
      <c r="AZ69" s="260" t="n"/>
      <c r="BA69" s="260" t="n"/>
      <c r="BB69" s="260" t="n"/>
      <c r="BC69" s="260" t="n"/>
      <c r="BD69" s="260" t="n"/>
      <c r="BE69" s="260" t="n"/>
      <c r="BF69" s="260" t="n"/>
      <c r="BG69" s="260" t="n"/>
      <c r="BH69" s="260" t="n"/>
      <c r="BI69" s="260" t="n"/>
      <c r="BJ69" s="260" t="n"/>
      <c r="BK69" s="260" t="n"/>
      <c r="BL69" s="260" t="n"/>
      <c r="BM69" s="260" t="n"/>
      <c r="BN69" s="260" t="n"/>
    </row>
    <row r="70" ht="18.5" customFormat="1" customHeight="1" s="240">
      <c r="A70" s="238" t="n"/>
      <c r="H70" s="238" t="n"/>
    </row>
    <row r="71" ht="18.5" customFormat="1" customHeight="1" s="240">
      <c r="A71" s="238" t="inlineStr">
        <is>
          <t xml:space="preserve">General and Modular Construction </t>
        </is>
      </c>
      <c r="H71" s="238" t="inlineStr">
        <is>
          <t>13 Months</t>
        </is>
      </c>
    </row>
    <row r="72" ht="18.5" customFormat="1" customHeight="1" s="240">
      <c r="A72" s="241" t="inlineStr">
        <is>
          <t>On-Going Construction Mgt</t>
        </is>
      </c>
      <c r="D72" s="261">
        <f>G72/13</f>
        <v/>
      </c>
      <c r="E72" s="240" t="inlineStr">
        <is>
          <t>Monthly</t>
        </is>
      </c>
      <c r="G72" s="261">
        <f>SUM(K7*0.9)-D7-G34</f>
        <v/>
      </c>
      <c r="H72" s="238" t="n"/>
      <c r="I72" s="240" t="inlineStr">
        <is>
          <t>(Total CM Fee Paid Monthly, less Close Out)</t>
        </is>
      </c>
      <c r="M72" s="261" t="n"/>
    </row>
    <row r="73" ht="18.5" customFormat="1" customHeight="1" s="240">
      <c r="A73" s="241" t="n"/>
      <c r="H73" s="238" t="n"/>
      <c r="M73" s="481" t="n"/>
    </row>
    <row r="74" ht="15.5" customFormat="1" customHeight="1" s="240">
      <c r="A74" s="241" t="inlineStr">
        <is>
          <t>Demolition, Carting and Site Prep</t>
        </is>
      </c>
      <c r="H74" s="240" t="inlineStr">
        <is>
          <t>6 Months</t>
        </is>
      </c>
      <c r="I74" s="239" t="inlineStr">
        <is>
          <t>(Concurrent with Modular)</t>
        </is>
      </c>
    </row>
    <row r="75">
      <c r="A75" s="239" t="inlineStr">
        <is>
          <t>Demolition/Carting</t>
        </is>
      </c>
      <c r="D75" s="242">
        <f>G75/6</f>
        <v/>
      </c>
      <c r="E75" s="242" t="n"/>
      <c r="F75" s="242" t="n"/>
      <c r="G75" s="242" t="n">
        <v>979000</v>
      </c>
    </row>
    <row r="76">
      <c r="A76" s="342" t="inlineStr">
        <is>
          <t>Excavation/Shoring/Underpinning</t>
        </is>
      </c>
      <c r="D76" s="242">
        <f>G76/6</f>
        <v/>
      </c>
      <c r="E76" s="242" t="n"/>
      <c r="F76" s="242" t="n"/>
      <c r="G76" s="242" t="n">
        <v>2500000</v>
      </c>
    </row>
    <row r="77">
      <c r="A77" s="239" t="inlineStr">
        <is>
          <t>Foundation</t>
        </is>
      </c>
      <c r="D77" s="242">
        <f>G77/6</f>
        <v/>
      </c>
      <c r="E77" s="242" t="n"/>
      <c r="F77" s="242" t="n"/>
      <c r="G77" s="242" t="n">
        <v>4400551</v>
      </c>
    </row>
    <row r="78" ht="15" customHeight="1" thickBot="1">
      <c r="A78" s="342" t="inlineStr">
        <is>
          <t>Parking System</t>
        </is>
      </c>
      <c r="D78" s="242">
        <f>G78/6</f>
        <v/>
      </c>
      <c r="E78" s="242" t="n"/>
      <c r="F78" s="242" t="n"/>
      <c r="G78" s="242" t="n">
        <v>5461602</v>
      </c>
    </row>
    <row r="79" ht="19" customHeight="1" thickTop="1">
      <c r="A79" s="238" t="inlineStr">
        <is>
          <t>Subtotal Site Prep Const.</t>
        </is>
      </c>
      <c r="D79" s="258">
        <f>SUM(D75:D78)</f>
        <v/>
      </c>
      <c r="E79" s="242" t="n"/>
      <c r="F79" s="242" t="n"/>
      <c r="G79" s="258">
        <f>SUM(G75:G78)</f>
        <v/>
      </c>
    </row>
    <row r="80" ht="18.5" customFormat="1" customHeight="1" s="256">
      <c r="E80" s="257" t="n"/>
      <c r="F80" s="257" t="n"/>
      <c r="G80" s="257" t="n"/>
    </row>
    <row r="81" ht="15.5" customFormat="1" customHeight="1" s="240">
      <c r="A81" s="241" t="inlineStr">
        <is>
          <t>Modular Construction</t>
        </is>
      </c>
      <c r="H81" s="240" t="inlineStr">
        <is>
          <t>13 Months</t>
        </is>
      </c>
      <c r="I81" s="239" t="inlineStr">
        <is>
          <t>(Concurrent with Site Prep)</t>
        </is>
      </c>
    </row>
    <row r="82">
      <c r="A82" s="239" t="inlineStr">
        <is>
          <t>Modular Factory Construction</t>
        </is>
      </c>
      <c r="D82" s="242">
        <f>SUM(G82/13)</f>
        <v/>
      </c>
      <c r="E82" s="242" t="n"/>
      <c r="F82" s="242" t="n"/>
      <c r="G82" s="242">
        <f>SUM('Construction Loan'!H21)*'Construction Loan'!J21*0.54371</f>
        <v/>
      </c>
    </row>
    <row r="83">
      <c r="A83" s="239" t="inlineStr">
        <is>
          <t>Renewable Energy/HVAC/Solar</t>
        </is>
      </c>
      <c r="D83" s="242">
        <f>G83/14</f>
        <v/>
      </c>
      <c r="E83" s="242" t="n"/>
      <c r="F83" s="242" t="n"/>
      <c r="G83" s="242">
        <f>SUM(L106-G53-G44-G33)</f>
        <v/>
      </c>
    </row>
    <row r="84">
      <c r="A84" s="239" t="inlineStr">
        <is>
          <t>Modular Delivery And Set</t>
        </is>
      </c>
      <c r="D84" s="286">
        <f>G84</f>
        <v/>
      </c>
      <c r="F84" s="242" t="n"/>
      <c r="G84" s="242" t="n">
        <v>487649</v>
      </c>
      <c r="H84" s="242" t="inlineStr">
        <is>
          <t>1 Month</t>
        </is>
      </c>
    </row>
    <row r="85">
      <c r="A85" s="239" t="inlineStr">
        <is>
          <t>Finishing,  Inspection and Testing</t>
        </is>
      </c>
      <c r="D85" s="242" t="n">
        <v>200000</v>
      </c>
      <c r="F85" s="242" t="n"/>
      <c r="G85" s="242">
        <f>D85*3</f>
        <v/>
      </c>
      <c r="H85" s="242" t="inlineStr">
        <is>
          <t>3 Months</t>
        </is>
      </c>
      <c r="M85" s="242" t="n"/>
      <c r="N85" s="242" t="n"/>
    </row>
    <row r="86">
      <c r="A86" s="239" t="inlineStr">
        <is>
          <t>Vertical Transportation (Elevators)</t>
        </is>
      </c>
      <c r="D86" s="242">
        <f>G86/13</f>
        <v/>
      </c>
      <c r="E86" s="242" t="n"/>
      <c r="F86" s="242" t="n"/>
      <c r="G86" s="242">
        <f>SUM('Specialty Costs RES'!D4)-G39-G54</f>
        <v/>
      </c>
      <c r="M86" s="242" t="n"/>
    </row>
    <row r="87" ht="15" customHeight="1" thickBot="1">
      <c r="A87" s="239" t="inlineStr">
        <is>
          <t>Utilities</t>
        </is>
      </c>
      <c r="D87" s="242">
        <f>G87/13</f>
        <v/>
      </c>
      <c r="E87" s="242" t="n"/>
      <c r="F87" s="242" t="n"/>
      <c r="G87" s="242">
        <f>SUM('Soft Costs'!D17)</f>
        <v/>
      </c>
    </row>
    <row r="88" ht="19" customHeight="1" thickTop="1">
      <c r="A88" s="238" t="inlineStr">
        <is>
          <t>Subtotal Modular Const.</t>
        </is>
      </c>
      <c r="D88" s="258">
        <f>SUM(D82:D87)</f>
        <v/>
      </c>
      <c r="E88" s="242" t="n"/>
      <c r="F88" s="242" t="n"/>
      <c r="G88" s="258">
        <f>SUM(G82:G87)</f>
        <v/>
      </c>
    </row>
    <row r="89" ht="18.5" customHeight="1">
      <c r="A89" s="238" t="n"/>
      <c r="D89" s="259" t="n"/>
      <c r="E89" s="242" t="n"/>
      <c r="F89" s="242" t="n"/>
      <c r="G89" s="259" t="n"/>
    </row>
    <row r="90" ht="18.5" customHeight="1">
      <c r="A90" s="238" t="inlineStr">
        <is>
          <t>Close Out</t>
        </is>
      </c>
    </row>
    <row r="91">
      <c r="A91" s="239" t="inlineStr">
        <is>
          <t>Marketing/Advertising</t>
        </is>
      </c>
      <c r="G91" s="480">
        <f>SUM('Soft Costs'!D18-G64)</f>
        <v/>
      </c>
      <c r="H91" s="415" t="inlineStr">
        <is>
          <t>Remaining 50%</t>
        </is>
      </c>
    </row>
    <row r="92">
      <c r="A92" s="239" t="inlineStr">
        <is>
          <t>Design team</t>
        </is>
      </c>
      <c r="G92" s="242">
        <f>SUM(E106-G51-G47-G42-G37-G30)</f>
        <v/>
      </c>
      <c r="H92" s="279" t="inlineStr">
        <is>
          <t>Remaining 24%</t>
        </is>
      </c>
      <c r="I92" s="482" t="n"/>
    </row>
    <row r="93">
      <c r="A93" s="239" t="inlineStr">
        <is>
          <t>Legal fees</t>
        </is>
      </c>
      <c r="G93" s="242">
        <f>SUM('Soft Costs'!D5)-D62-D9</f>
        <v/>
      </c>
      <c r="H93" s="239" t="inlineStr">
        <is>
          <t>Remaining 30%</t>
        </is>
      </c>
    </row>
    <row r="94">
      <c r="A94" s="239" t="inlineStr">
        <is>
          <t>Expediter/Code Consultant</t>
        </is>
      </c>
      <c r="G94" s="242">
        <f>('Soft Costs'!D10)*0.15</f>
        <v/>
      </c>
      <c r="H94" s="239" t="inlineStr">
        <is>
          <t>Remaining 15%</t>
        </is>
      </c>
      <c r="J94" s="265" t="n"/>
    </row>
    <row r="95">
      <c r="A95" s="239" t="inlineStr">
        <is>
          <t xml:space="preserve">Construction MGT </t>
        </is>
      </c>
      <c r="G95" s="242">
        <f>SUM('Soft Costs'!D8*0.1)</f>
        <v/>
      </c>
      <c r="H95" s="239" t="inlineStr">
        <is>
          <t>Remaining 10%</t>
        </is>
      </c>
    </row>
    <row r="96" ht="15" customHeight="1" thickBot="1">
      <c r="A96" s="270" t="inlineStr">
        <is>
          <t>Other Professional Fees</t>
        </is>
      </c>
      <c r="G96" s="242">
        <f>SUM('Soft Costs'!D21)-G63-G61-G60</f>
        <v/>
      </c>
      <c r="H96" s="239" t="inlineStr">
        <is>
          <t>Remaining 10%</t>
        </is>
      </c>
      <c r="I96" s="480" t="n"/>
      <c r="J96" s="480" t="n"/>
    </row>
    <row r="97" ht="19" customHeight="1" thickTop="1">
      <c r="E97" s="238" t="inlineStr">
        <is>
          <t>Total Close-Out</t>
        </is>
      </c>
      <c r="G97" s="258">
        <f>SUM(G91:G96)</f>
        <v/>
      </c>
      <c r="K97" s="242" t="n"/>
    </row>
    <row r="98" ht="18.5" customHeight="1">
      <c r="E98" s="238" t="n"/>
      <c r="G98" s="259" t="n"/>
      <c r="K98" s="242" t="n"/>
    </row>
    <row r="99" ht="19" customHeight="1" thickBot="1">
      <c r="A99" s="238" t="n"/>
      <c r="D99" s="259" t="n"/>
      <c r="E99" s="238" t="inlineStr">
        <is>
          <t>Total Construction/CM &amp; Close Out</t>
        </is>
      </c>
      <c r="H99" s="259">
        <f>SUM(G97+G88+G79+G72)</f>
        <v/>
      </c>
      <c r="K99" s="282" t="n"/>
    </row>
    <row r="100" ht="19" customHeight="1" thickBot="1">
      <c r="G100" s="238" t="inlineStr">
        <is>
          <t>Project Grand Total</t>
        </is>
      </c>
      <c r="I100" s="483">
        <f>SUM(H99+H67)</f>
        <v/>
      </c>
      <c r="K100" s="286" t="n"/>
      <c r="L100" s="284" t="n"/>
    </row>
    <row r="101">
      <c r="G101" s="415" t="inlineStr">
        <is>
          <t>(Not including FF&amp;E and contingency)</t>
        </is>
      </c>
      <c r="K101" s="242" t="n"/>
      <c r="L101" s="242" t="n"/>
      <c r="M101" s="242" t="n"/>
    </row>
    <row r="102">
      <c r="K102" s="484" t="n"/>
      <c r="L102" s="484" t="n"/>
    </row>
    <row r="103">
      <c r="K103" s="242" t="n"/>
    </row>
    <row r="104" ht="15.5" customHeight="1">
      <c r="A104" s="241" t="inlineStr">
        <is>
          <t>Soft Cost Checklist</t>
        </is>
      </c>
      <c r="B104" s="241" t="n"/>
      <c r="C104" s="241" t="n"/>
      <c r="D104" s="241" t="n"/>
      <c r="E104" s="281" t="inlineStr">
        <is>
          <t>Budget</t>
        </is>
      </c>
      <c r="F104" s="281" t="inlineStr">
        <is>
          <t>This Tab</t>
        </is>
      </c>
      <c r="G104" s="282" t="inlineStr">
        <is>
          <t>diff</t>
        </is>
      </c>
      <c r="I104" s="240" t="inlineStr">
        <is>
          <t>Specialty Cost Checklist</t>
        </is>
      </c>
      <c r="K104" s="484" t="n"/>
      <c r="L104" s="281" t="inlineStr">
        <is>
          <t>Budget</t>
        </is>
      </c>
      <c r="M104" s="281" t="inlineStr">
        <is>
          <t>This Tab</t>
        </is>
      </c>
      <c r="N104" s="282" t="inlineStr">
        <is>
          <t>diff</t>
        </is>
      </c>
    </row>
    <row r="105" ht="15.5" customHeight="1">
      <c r="A105" s="1" t="inlineStr">
        <is>
          <t>Appraisal</t>
        </is>
      </c>
      <c r="B105" s="1" t="n"/>
      <c r="C105" s="1" t="n"/>
      <c r="D105" s="241" t="n"/>
      <c r="E105" s="485">
        <f>'Soft Costs'!D3</f>
        <v/>
      </c>
      <c r="F105" s="292">
        <f>D12</f>
        <v/>
      </c>
      <c r="G105" s="480">
        <f>SUM(E105-F105)</f>
        <v/>
      </c>
      <c r="I105" t="inlineStr">
        <is>
          <t>Elevator Banks (QTY 3)</t>
        </is>
      </c>
      <c r="L105" s="278" t="n">
        <v>1500000</v>
      </c>
      <c r="M105" s="480">
        <f>SUM(G39+G54+G86)</f>
        <v/>
      </c>
      <c r="N105" s="480">
        <f>SUM(L105-M105)</f>
        <v/>
      </c>
    </row>
    <row r="106" ht="15.5" customHeight="1">
      <c r="A106" s="417" t="inlineStr">
        <is>
          <t>Architectural Fee</t>
        </is>
      </c>
      <c r="B106" s="1" t="n"/>
      <c r="C106" s="1" t="n"/>
      <c r="D106" s="241" t="n"/>
      <c r="E106" s="486">
        <f>'Soft Costs'!D4</f>
        <v/>
      </c>
      <c r="F106" s="293">
        <f>SUM(G30+G37+G51+G42+G47+G92)</f>
        <v/>
      </c>
      <c r="G106" s="480">
        <f>SUM(E106-F106)</f>
        <v/>
      </c>
      <c r="I106" s="240" t="inlineStr">
        <is>
          <t>RES (Total of Below)</t>
        </is>
      </c>
      <c r="L106" s="242">
        <f>SUM(L107:L110)</f>
        <v/>
      </c>
      <c r="M106" s="242">
        <f>SUM(G83+G53+G44+G33)</f>
        <v/>
      </c>
      <c r="N106" s="480">
        <f>SUM(L106-M106)</f>
        <v/>
      </c>
    </row>
    <row r="107" ht="15.5" customHeight="1">
      <c r="A107" s="1" t="inlineStr">
        <is>
          <t>Attorney/Legal Fees</t>
        </is>
      </c>
      <c r="B107" s="1" t="n"/>
      <c r="C107" s="1" t="n"/>
      <c r="D107" s="241" t="n"/>
      <c r="E107" s="485">
        <f>'Soft Costs'!D5</f>
        <v/>
      </c>
      <c r="F107" s="292">
        <f>SUM(D9+G62+G93)</f>
        <v/>
      </c>
      <c r="G107" s="480">
        <f>SUM(E107-F107)</f>
        <v/>
      </c>
      <c r="I107" t="inlineStr">
        <is>
          <t>Solar PV</t>
        </is>
      </c>
      <c r="L107" s="278" t="n">
        <v>350000</v>
      </c>
      <c r="N107" s="480" t="n"/>
    </row>
    <row r="108" ht="15.5" customHeight="1">
      <c r="A108" s="1" t="inlineStr">
        <is>
          <t>Structural Engineer</t>
        </is>
      </c>
      <c r="B108" s="1" t="n"/>
      <c r="C108" s="1" t="n"/>
      <c r="D108" s="241" t="n"/>
      <c r="E108" s="487">
        <f>'Soft Costs'!D6</f>
        <v/>
      </c>
      <c r="F108" s="247" t="n">
        <v>0</v>
      </c>
      <c r="G108" s="480">
        <f>F108</f>
        <v/>
      </c>
      <c r="I108" t="inlineStr">
        <is>
          <t>Solar Hydronic (hot water)</t>
        </is>
      </c>
      <c r="L108" s="278" t="n">
        <v>75000</v>
      </c>
      <c r="N108" s="480" t="n"/>
    </row>
    <row r="109" ht="15.5" customHeight="1">
      <c r="A109" s="1" t="inlineStr">
        <is>
          <t>MEP/Vertical Transportation Design Fees</t>
        </is>
      </c>
      <c r="B109" s="1" t="n"/>
      <c r="C109" s="1" t="n"/>
      <c r="D109" s="241" t="n"/>
      <c r="E109" s="487">
        <f>'Soft Costs'!D7</f>
        <v/>
      </c>
      <c r="F109" s="247" t="n">
        <v>0</v>
      </c>
      <c r="G109" s="480">
        <f>F109</f>
        <v/>
      </c>
      <c r="I109" t="inlineStr">
        <is>
          <t>High Efficiency HVAC</t>
        </is>
      </c>
      <c r="L109" s="278" t="n">
        <v>450000</v>
      </c>
      <c r="N109" s="480" t="n"/>
    </row>
    <row r="110" ht="16" customHeight="1" thickBot="1">
      <c r="A110" s="1" t="inlineStr">
        <is>
          <t>Construction Management (3.5%)</t>
        </is>
      </c>
      <c r="B110" s="230" t="n"/>
      <c r="C110" s="1" t="n"/>
      <c r="D110" s="241" t="n"/>
      <c r="E110" s="488">
        <f>'Soft Costs'!D8</f>
        <v/>
      </c>
      <c r="F110" s="292">
        <f>SUM(G95++G34+D7+G72)</f>
        <v/>
      </c>
      <c r="G110" s="484">
        <f>SUM(E110-F110)</f>
        <v/>
      </c>
      <c r="I110" t="inlineStr">
        <is>
          <t>Closed cell insulation (bldg shells)</t>
        </is>
      </c>
      <c r="K110" s="263" t="inlineStr">
        <is>
          <t>Total</t>
        </is>
      </c>
      <c r="L110" s="278" t="n">
        <v>200000</v>
      </c>
      <c r="N110" s="480" t="n"/>
    </row>
    <row r="111" ht="15.5" customHeight="1">
      <c r="A111" s="1" t="inlineStr">
        <is>
          <t>Soil Investigation/Environmentals</t>
        </is>
      </c>
      <c r="B111" s="230" t="n"/>
      <c r="C111" s="1" t="n"/>
      <c r="D111" s="241" t="n"/>
      <c r="E111" s="485">
        <f>'Soft Costs'!D9</f>
        <v/>
      </c>
      <c r="F111" s="292">
        <f>SUM(D10)</f>
        <v/>
      </c>
      <c r="G111" s="480">
        <f>SUM(E111-F111)</f>
        <v/>
      </c>
      <c r="L111" s="264">
        <f>SUM(L105+L106)</f>
        <v/>
      </c>
      <c r="M111" s="489">
        <f>SUM(M105:M110)</f>
        <v/>
      </c>
      <c r="N111" s="489">
        <f>SUM(L111-M111)</f>
        <v/>
      </c>
      <c r="O111" s="284" t="inlineStr">
        <is>
          <t>√</t>
        </is>
      </c>
    </row>
    <row r="112" ht="15.5" customHeight="1">
      <c r="A112" s="1" t="inlineStr">
        <is>
          <t>Expeditor/Code Consultant</t>
        </is>
      </c>
      <c r="B112" s="230" t="n"/>
      <c r="C112" s="1" t="n"/>
      <c r="D112" s="241" t="n"/>
      <c r="E112" s="485">
        <f>'Soft Costs'!D10</f>
        <v/>
      </c>
      <c r="F112" s="292">
        <f>SUM(G58+G94)</f>
        <v/>
      </c>
      <c r="G112" s="480">
        <f>SUM(E112-F112)</f>
        <v/>
      </c>
    </row>
    <row r="113" ht="16" customHeight="1" thickBot="1">
      <c r="A113" s="1" t="inlineStr">
        <is>
          <t xml:space="preserve">Permits Fees </t>
        </is>
      </c>
      <c r="B113" s="230" t="n"/>
      <c r="C113" s="1" t="n"/>
      <c r="D113" s="241" t="n"/>
      <c r="E113" s="485">
        <f>'Soft Costs'!D11</f>
        <v/>
      </c>
      <c r="F113" s="247">
        <f>SUM(G59)</f>
        <v/>
      </c>
      <c r="G113" s="480">
        <f>SUM(E113-F113)</f>
        <v/>
      </c>
      <c r="I113" s="240" t="n"/>
    </row>
    <row r="114" ht="15.5" customHeight="1">
      <c r="A114" s="1" t="inlineStr">
        <is>
          <t>Surveyors</t>
        </is>
      </c>
      <c r="B114" s="230" t="n"/>
      <c r="C114" s="1" t="n"/>
      <c r="D114" s="241" t="n"/>
      <c r="E114" s="485">
        <f>'Soft Costs'!D12</f>
        <v/>
      </c>
      <c r="F114" s="292">
        <f>SUM(D11)</f>
        <v/>
      </c>
      <c r="G114" s="480">
        <f>SUM(E114-F114)</f>
        <v/>
      </c>
      <c r="I114" s="279" t="n"/>
      <c r="L114" s="242" t="n"/>
      <c r="M114" s="242" t="n"/>
      <c r="N114" s="490" t="n"/>
      <c r="O114" s="284" t="n"/>
    </row>
    <row r="115" ht="15.5" customHeight="1">
      <c r="A115" s="1" t="inlineStr">
        <is>
          <t>Property Taxes</t>
        </is>
      </c>
      <c r="B115" s="230" t="n"/>
      <c r="C115" s="1" t="n"/>
      <c r="D115" s="241" t="n"/>
      <c r="E115" s="485">
        <f>'Soft Costs'!D13</f>
        <v/>
      </c>
      <c r="F115" s="292">
        <f>SUM(G20)</f>
        <v/>
      </c>
      <c r="G115" s="480">
        <f>SUM(E115-F115)</f>
        <v/>
      </c>
      <c r="I115" s="342" t="n"/>
    </row>
    <row r="116" ht="15.5" customHeight="1">
      <c r="A116" s="1" t="inlineStr">
        <is>
          <t>Mortgage Tax</t>
        </is>
      </c>
      <c r="B116" s="230" t="n"/>
      <c r="C116" s="1" t="n"/>
      <c r="D116" s="241" t="n"/>
      <c r="E116" s="485">
        <f>'Soft Costs'!D14</f>
        <v/>
      </c>
      <c r="F116" s="292">
        <f>D22</f>
        <v/>
      </c>
      <c r="G116" s="480">
        <f>SUM(E116-F116)</f>
        <v/>
      </c>
      <c r="I116" s="342" t="n"/>
    </row>
    <row r="117" ht="15.5" customHeight="1">
      <c r="A117" s="1" t="inlineStr">
        <is>
          <t>Title Insurance</t>
        </is>
      </c>
      <c r="B117" s="45" t="n"/>
      <c r="C117" s="1" t="n"/>
      <c r="D117" s="241" t="n"/>
      <c r="E117" s="485">
        <f>'Soft Costs'!D15</f>
        <v/>
      </c>
      <c r="F117" s="292">
        <f>SUM(D13)</f>
        <v/>
      </c>
      <c r="G117" s="480">
        <f>SUM(E117-F117)</f>
        <v/>
      </c>
    </row>
    <row r="118" ht="15.5" customHeight="1">
      <c r="A118" s="1" t="inlineStr">
        <is>
          <t>Property Insurance</t>
        </is>
      </c>
      <c r="B118" s="1" t="n"/>
      <c r="C118" s="1" t="n"/>
      <c r="D118" s="241" t="n"/>
      <c r="E118" s="485">
        <f>'Soft Costs'!D16</f>
        <v/>
      </c>
      <c r="F118" s="292">
        <f>SUM(D14)</f>
        <v/>
      </c>
      <c r="G118" s="480">
        <f>SUM(E118-F118)</f>
        <v/>
      </c>
      <c r="I118" s="1" t="n"/>
      <c r="J118" s="1" t="n"/>
      <c r="K118" s="1" t="n"/>
    </row>
    <row r="119" ht="15.5" customHeight="1">
      <c r="A119" s="1" t="inlineStr">
        <is>
          <t>Utilities (Water/Electricity)</t>
        </is>
      </c>
      <c r="B119" s="1" t="n"/>
      <c r="C119" s="1" t="n"/>
      <c r="D119" s="241" t="n"/>
      <c r="E119" s="485">
        <f>'Soft Costs'!D17</f>
        <v/>
      </c>
      <c r="F119" s="292">
        <f>G87</f>
        <v/>
      </c>
      <c r="G119" s="480">
        <f>SUM(E119-F119)</f>
        <v/>
      </c>
      <c r="I119" s="491" t="n"/>
      <c r="J119" s="1" t="n"/>
      <c r="K119" s="1" t="n"/>
    </row>
    <row r="120" ht="15.5" customHeight="1">
      <c r="A120" s="1" t="inlineStr">
        <is>
          <t>Marketing/Advertising</t>
        </is>
      </c>
      <c r="B120" s="1" t="n"/>
      <c r="C120" s="1" t="n"/>
      <c r="D120" s="241" t="n"/>
      <c r="E120" s="485">
        <f>'Soft Costs'!D18</f>
        <v/>
      </c>
      <c r="F120" s="292">
        <f>SUM(G91+G64)</f>
        <v/>
      </c>
      <c r="G120" s="480">
        <f>SUM(E120-F120)</f>
        <v/>
      </c>
      <c r="I120" s="1" t="n"/>
      <c r="J120" s="1" t="n"/>
      <c r="K120" s="1" t="n"/>
    </row>
    <row r="121" ht="15.5" customHeight="1">
      <c r="A121" s="1" t="inlineStr">
        <is>
          <t>Energy Efficiency Consultant</t>
        </is>
      </c>
      <c r="B121" s="1" t="n"/>
      <c r="C121" s="1" t="n"/>
      <c r="D121" s="241" t="n"/>
      <c r="E121" s="401">
        <f>'Soft Costs'!D19</f>
        <v/>
      </c>
      <c r="F121" s="492">
        <f>E121</f>
        <v/>
      </c>
      <c r="G121" s="493">
        <f>F121</f>
        <v/>
      </c>
      <c r="I121" s="1" t="n"/>
      <c r="J121" s="1" t="n"/>
      <c r="K121" s="1" t="n"/>
    </row>
    <row r="122" ht="15.5" customHeight="1">
      <c r="A122" s="1" t="inlineStr">
        <is>
          <t>Acquisiton Fee 2%</t>
        </is>
      </c>
      <c r="B122" s="1" t="n"/>
      <c r="C122" s="1" t="n"/>
      <c r="D122" s="241" t="n"/>
      <c r="E122" s="486">
        <f>'Soft Costs'!D20</f>
        <v/>
      </c>
      <c r="F122" s="418">
        <f>D21</f>
        <v/>
      </c>
      <c r="G122" s="480">
        <f>SUM(E122-F122)</f>
        <v/>
      </c>
      <c r="I122" s="1" t="n"/>
      <c r="J122" s="1" t="n"/>
      <c r="K122" s="1" t="n"/>
    </row>
    <row r="123" ht="15.5" customHeight="1">
      <c r="A123" s="1" t="inlineStr">
        <is>
          <t>Other Professional Fees</t>
        </is>
      </c>
      <c r="B123" s="1" t="n"/>
      <c r="C123" s="1" t="n"/>
      <c r="D123" s="241" t="n"/>
      <c r="E123" s="485">
        <f>'Soft Costs'!D21</f>
        <v/>
      </c>
      <c r="F123" s="292">
        <f>SUM(G60+G61+G63+G96)</f>
        <v/>
      </c>
      <c r="G123" s="480">
        <f>SUM(E123-F123)</f>
        <v/>
      </c>
      <c r="I123" s="1" t="n"/>
      <c r="J123" s="230" t="n"/>
      <c r="K123" s="1" t="n"/>
    </row>
    <row r="124" ht="15.5" customHeight="1">
      <c r="A124" s="494">
        <f>'Soft Costs'!A22</f>
        <v/>
      </c>
      <c r="B124" s="1" t="n"/>
      <c r="C124" s="1" t="n"/>
      <c r="D124" s="241" t="n"/>
      <c r="E124" s="485">
        <f>'Soft Costs'!D22</f>
        <v/>
      </c>
      <c r="F124" s="292">
        <f>D19</f>
        <v/>
      </c>
      <c r="G124" s="480">
        <f>SUM(E124-F124)</f>
        <v/>
      </c>
      <c r="I124" s="1" t="n"/>
      <c r="J124" s="230" t="n"/>
      <c r="K124" s="1" t="n"/>
    </row>
    <row r="125" ht="16" customHeight="1" thickBot="1">
      <c r="A125" s="1" t="inlineStr">
        <is>
          <t>Prudential and HUD Fees</t>
        </is>
      </c>
      <c r="B125" s="1" t="n"/>
      <c r="C125" s="1" t="n"/>
      <c r="D125" s="241" t="n"/>
      <c r="E125" s="485">
        <f>'Soft Costs'!#REF!</f>
        <v/>
      </c>
      <c r="F125" s="242">
        <f>D23</f>
        <v/>
      </c>
      <c r="G125" s="480">
        <f>SUM(E125-F125)</f>
        <v/>
      </c>
      <c r="I125" s="1" t="n"/>
      <c r="J125" s="230" t="n"/>
      <c r="K125" s="1" t="n"/>
    </row>
    <row r="126" ht="15.5" customHeight="1">
      <c r="A126" s="231" t="inlineStr">
        <is>
          <t>Total Soft Costs &amp; Professional Fees</t>
        </is>
      </c>
      <c r="B126" s="1" t="n"/>
      <c r="C126" s="1" t="n"/>
      <c r="D126" s="241" t="n"/>
      <c r="E126" s="495">
        <f>SUM(E105:E125)</f>
        <v/>
      </c>
      <c r="F126" s="294">
        <f>SUM(F105:F125)</f>
        <v/>
      </c>
      <c r="G126" s="489">
        <f>SUM(E126-F126)</f>
        <v/>
      </c>
      <c r="H126" s="284" t="inlineStr">
        <is>
          <t>√</t>
        </is>
      </c>
      <c r="I126" s="1" t="n"/>
      <c r="J126" s="230" t="n"/>
      <c r="K126" s="1" t="n"/>
    </row>
    <row r="127" ht="15.5" customHeight="1">
      <c r="I127" s="1" t="n"/>
      <c r="J127" s="230" t="n"/>
      <c r="K127" s="1" t="n"/>
    </row>
    <row r="128" ht="15.5" customHeight="1">
      <c r="I128" s="1" t="n"/>
      <c r="J128" s="230" t="n"/>
      <c r="K128" s="1" t="n"/>
    </row>
    <row r="129" ht="15.5" customHeight="1">
      <c r="I129" s="1" t="n"/>
      <c r="J129" s="230" t="n"/>
      <c r="K129" s="1" t="n"/>
    </row>
    <row r="130" ht="15.5" customHeight="1">
      <c r="I130" s="1" t="n"/>
      <c r="J130" s="230" t="n"/>
      <c r="K130" s="1" t="n"/>
    </row>
    <row r="131" ht="15.5" customHeight="1">
      <c r="I131" s="1" t="n"/>
      <c r="J131" s="45" t="n"/>
      <c r="K131" s="1" t="n"/>
    </row>
    <row r="132" ht="15.5" customHeight="1">
      <c r="I132" s="1" t="n"/>
      <c r="J132" s="1" t="n"/>
      <c r="K132" s="1" t="n"/>
    </row>
    <row r="133" ht="15.5" customHeight="1">
      <c r="I133" s="1" t="n"/>
      <c r="J133" s="1" t="n"/>
      <c r="K133" s="1" t="n"/>
    </row>
    <row r="134" ht="15.5" customHeight="1">
      <c r="I134" s="1" t="n"/>
      <c r="J134" s="1" t="n"/>
      <c r="K134" s="1" t="n"/>
    </row>
    <row r="135" ht="15.5" customHeight="1">
      <c r="I135" s="1" t="n"/>
      <c r="J135" s="1" t="n"/>
      <c r="K135" s="1" t="n"/>
    </row>
    <row r="136" ht="15.5" customHeight="1">
      <c r="I136" s="1" t="n"/>
      <c r="J136" s="1" t="n"/>
      <c r="K136" s="1" t="n"/>
    </row>
    <row r="137" ht="15.5" customHeight="1">
      <c r="I137" s="1" t="n"/>
      <c r="J137" s="1" t="n"/>
      <c r="K137" s="1" t="n"/>
    </row>
    <row r="138" ht="15.5" customHeight="1">
      <c r="I138" s="231" t="n"/>
      <c r="J138" s="1" t="n"/>
      <c r="K138" s="1" t="n"/>
    </row>
  </sheetData>
  <pageMargins left="0.7" right="0.7" top="0.75" bottom="0.75" header="0.3" footer="0.3"/>
  <pageSetup orientation="portrait" scale="49" horizontalDpi="300" verticalDpi="300"/>
  <rowBreaks count="1" manualBreakCount="1">
    <brk id="70" min="0" max="16383" man="1"/>
  </rowBreaks>
</worksheet>
</file>

<file path=xl/worksheets/sheet8.xml><?xml version="1.0" encoding="utf-8"?>
<worksheet xmlns="http://schemas.openxmlformats.org/spreadsheetml/2006/main">
  <sheetPr>
    <tabColor rgb="FF00B0F0"/>
    <outlinePr summaryBelow="1" summaryRight="1"/>
    <pageSetUpPr/>
  </sheetPr>
  <dimension ref="A1:D23"/>
  <sheetViews>
    <sheetView workbookViewId="0">
      <selection activeCell="D4" sqref="D4"/>
    </sheetView>
  </sheetViews>
  <sheetFormatPr baseColWidth="8" defaultColWidth="8.75" defaultRowHeight="15.5"/>
  <cols>
    <col width="37.75" customWidth="1" min="1" max="1"/>
    <col width="13.83203125" customWidth="1" min="4" max="4"/>
  </cols>
  <sheetData>
    <row r="1">
      <c r="A1" s="230" t="n"/>
      <c r="B1" s="231" t="inlineStr">
        <is>
          <t xml:space="preserve">Soft Costs </t>
        </is>
      </c>
      <c r="C1" s="230" t="n"/>
      <c r="D1" s="1" t="n"/>
    </row>
    <row r="2">
      <c r="A2" s="232" t="n"/>
      <c r="B2" s="231" t="n"/>
      <c r="C2" s="1" t="n"/>
      <c r="D2" s="1" t="n"/>
    </row>
    <row r="3">
      <c r="A3" s="1" t="inlineStr">
        <is>
          <t>Appraisal</t>
        </is>
      </c>
      <c r="B3" s="1" t="n"/>
      <c r="C3" s="1" t="n"/>
      <c r="D3" s="485" t="n">
        <v>6000</v>
      </c>
    </row>
    <row r="4">
      <c r="A4" s="417" t="inlineStr">
        <is>
          <t>Architectural Fee</t>
        </is>
      </c>
      <c r="B4" s="1" t="n"/>
      <c r="C4" s="1" t="n"/>
      <c r="D4" s="486" t="n">
        <v>1665000</v>
      </c>
    </row>
    <row r="5">
      <c r="A5" s="1" t="inlineStr">
        <is>
          <t>Attorney/Legal Fees</t>
        </is>
      </c>
      <c r="B5" s="1" t="n"/>
      <c r="C5" s="1" t="n"/>
      <c r="D5" s="485" t="n">
        <v>50000</v>
      </c>
    </row>
    <row r="6">
      <c r="A6" s="1" t="inlineStr">
        <is>
          <t>Structural Engineer</t>
        </is>
      </c>
      <c r="B6" s="1" t="n"/>
      <c r="C6" s="1" t="n"/>
      <c r="D6" s="487" t="inlineStr">
        <is>
          <t>Included in D4</t>
        </is>
      </c>
    </row>
    <row r="7">
      <c r="A7" s="1" t="inlineStr">
        <is>
          <t>MEP/Vertical Transportation Design Fees</t>
        </is>
      </c>
      <c r="B7" s="1" t="n"/>
      <c r="C7" s="1" t="n"/>
      <c r="D7" s="487" t="inlineStr">
        <is>
          <t>Included in D4</t>
        </is>
      </c>
    </row>
    <row r="8">
      <c r="A8" s="1" t="inlineStr">
        <is>
          <t>Construction Management (3.5%)</t>
        </is>
      </c>
      <c r="B8" s="230" t="n"/>
      <c r="C8" s="1" t="n"/>
      <c r="D8" s="488">
        <f>'Cashflow Breakdown'!K7</f>
        <v/>
      </c>
    </row>
    <row r="9">
      <c r="A9" s="1" t="inlineStr">
        <is>
          <t>Soil Investigation/Environmentals</t>
        </is>
      </c>
      <c r="B9" s="230" t="n"/>
      <c r="C9" s="1" t="n"/>
      <c r="D9" s="485" t="n">
        <v>7500</v>
      </c>
    </row>
    <row r="10">
      <c r="A10" s="1" t="inlineStr">
        <is>
          <t>Expeditor/Code Consultant</t>
        </is>
      </c>
      <c r="B10" s="230" t="n"/>
      <c r="C10" s="1" t="n"/>
      <c r="D10" s="485" t="n">
        <v>0</v>
      </c>
    </row>
    <row r="11">
      <c r="A11" s="1" t="inlineStr">
        <is>
          <t xml:space="preserve">Permits Fees </t>
        </is>
      </c>
      <c r="B11" s="230" t="n"/>
      <c r="C11" s="1" t="n"/>
      <c r="D11" s="485" t="n">
        <v>0</v>
      </c>
    </row>
    <row r="12">
      <c r="A12" s="1" t="inlineStr">
        <is>
          <t>Surveyors</t>
        </is>
      </c>
      <c r="B12" s="230" t="n"/>
      <c r="C12" s="1" t="n"/>
      <c r="D12" s="485" t="n">
        <v>15000</v>
      </c>
    </row>
    <row r="13">
      <c r="A13" s="1" t="inlineStr">
        <is>
          <t>Property Taxes</t>
        </is>
      </c>
      <c r="B13" s="230" t="n"/>
      <c r="C13" s="1" t="n"/>
      <c r="D13" s="485" t="n">
        <v>500000</v>
      </c>
    </row>
    <row r="14">
      <c r="A14" s="1" t="inlineStr">
        <is>
          <t>Mortgage Tax</t>
        </is>
      </c>
      <c r="B14" s="230" t="n"/>
      <c r="C14" s="1" t="n"/>
      <c r="D14" s="485" t="n">
        <v>821534</v>
      </c>
    </row>
    <row r="15">
      <c r="A15" s="1" t="inlineStr">
        <is>
          <t>Title Insurance</t>
        </is>
      </c>
      <c r="B15" s="45" t="n"/>
      <c r="C15" s="1" t="n"/>
      <c r="D15" s="485" t="n">
        <v>102000</v>
      </c>
    </row>
    <row r="16">
      <c r="A16" s="1" t="inlineStr">
        <is>
          <t>Property Insurance</t>
        </is>
      </c>
      <c r="B16" s="1" t="n"/>
      <c r="C16" s="1" t="n"/>
      <c r="D16" s="485" t="n">
        <v>15000</v>
      </c>
    </row>
    <row r="17">
      <c r="A17" s="1" t="inlineStr">
        <is>
          <t>Utilities (Water/Electricity)</t>
        </is>
      </c>
      <c r="B17" s="1" t="n"/>
      <c r="C17" s="1" t="n"/>
      <c r="D17" s="485" t="n">
        <v>15000</v>
      </c>
    </row>
    <row r="18">
      <c r="A18" s="1" t="inlineStr">
        <is>
          <t>Marketing/Advertising</t>
        </is>
      </c>
      <c r="B18" s="1" t="n"/>
      <c r="C18" s="1" t="n"/>
      <c r="D18" s="485" t="n">
        <v>15000</v>
      </c>
    </row>
    <row r="19">
      <c r="A19" s="1" t="inlineStr">
        <is>
          <t>Energy Efficiency Consultant</t>
        </is>
      </c>
      <c r="B19" s="1" t="n"/>
      <c r="C19" s="1" t="n"/>
      <c r="D19" s="401" t="inlineStr">
        <is>
          <t>NYSERDA</t>
        </is>
      </c>
    </row>
    <row r="20">
      <c r="A20" s="1" t="inlineStr">
        <is>
          <t>Acquisiton Fee 2%</t>
        </is>
      </c>
      <c r="B20" s="1" t="n"/>
      <c r="C20" s="1" t="n"/>
      <c r="D20" s="486">
        <f>SUM('Construction Loan'!J23*'Pro Forma'!D82)</f>
        <v/>
      </c>
    </row>
    <row r="21">
      <c r="A21" s="1" t="inlineStr">
        <is>
          <t>Other Professional Fees</t>
        </is>
      </c>
      <c r="B21" s="1" t="n"/>
      <c r="C21" s="1" t="n"/>
      <c r="D21" s="485" t="n">
        <v>7500</v>
      </c>
    </row>
    <row r="22" ht="16" customHeight="1" thickBot="1">
      <c r="A22" s="1" t="inlineStr">
        <is>
          <t>Property Closing Costs</t>
        </is>
      </c>
      <c r="B22" s="1" t="n"/>
      <c r="C22" s="1" t="n"/>
      <c r="D22" s="485" t="n">
        <v>75000</v>
      </c>
    </row>
    <row r="23">
      <c r="A23" s="231" t="inlineStr">
        <is>
          <t>Total Soft Costs &amp; Professional Fees</t>
        </is>
      </c>
      <c r="B23" s="1" t="n"/>
      <c r="C23" s="1" t="n"/>
      <c r="D23" s="495">
        <f>SUM(D3:D22)</f>
        <v/>
      </c>
    </row>
  </sheetData>
  <pageMargins left="0.7" right="0.7" top="0.75" bottom="0.75" header="0.3" footer="0.3"/>
</worksheet>
</file>

<file path=xl/worksheets/sheet9.xml><?xml version="1.0" encoding="utf-8"?>
<worksheet xmlns="http://schemas.openxmlformats.org/spreadsheetml/2006/main">
  <sheetPr>
    <tabColor rgb="FF00B0F0"/>
    <outlinePr summaryBelow="1" summaryRight="1"/>
    <pageSetUpPr/>
  </sheetPr>
  <dimension ref="A2:E9"/>
  <sheetViews>
    <sheetView workbookViewId="0">
      <selection activeCell="G34" sqref="G34"/>
    </sheetView>
  </sheetViews>
  <sheetFormatPr baseColWidth="8" defaultColWidth="8.75" defaultRowHeight="15.5"/>
  <cols>
    <col width="11.58203125" customWidth="1" min="3" max="3"/>
    <col width="10.75" customWidth="1" min="4" max="4"/>
  </cols>
  <sheetData>
    <row r="2">
      <c r="A2" s="262" t="inlineStr">
        <is>
          <t xml:space="preserve">Specialty Costs are line item costs for Renewable Energy Systems (RES) and Vertical Transportation </t>
        </is>
      </c>
    </row>
    <row r="4">
      <c r="A4" t="inlineStr">
        <is>
          <t>Elevator Banks (QTY 3)</t>
        </is>
      </c>
      <c r="D4" s="278" t="n">
        <v>1500000</v>
      </c>
    </row>
    <row r="5">
      <c r="A5" t="inlineStr">
        <is>
          <t>Solar PV</t>
        </is>
      </c>
      <c r="D5" s="278" t="n">
        <v>350000</v>
      </c>
      <c r="E5" t="inlineStr">
        <is>
          <t>(30% Tax Credit is Available in 2019)</t>
        </is>
      </c>
    </row>
    <row r="6">
      <c r="A6" t="inlineStr">
        <is>
          <t>Solar Hydronic (hot water)</t>
        </is>
      </c>
      <c r="D6" s="278" t="n">
        <v>75000</v>
      </c>
      <c r="E6" t="inlineStr">
        <is>
          <t>(Preheat hot water)</t>
        </is>
      </c>
    </row>
    <row r="7">
      <c r="A7" t="inlineStr">
        <is>
          <t>High Efficiency HVAC</t>
        </is>
      </c>
      <c r="D7" s="278" t="n">
        <v>450000</v>
      </c>
    </row>
    <row r="8" ht="16" customHeight="1" thickBot="1">
      <c r="A8" t="inlineStr">
        <is>
          <t>Closed cell insulation (bldg shells)</t>
        </is>
      </c>
      <c r="D8" s="278" t="n">
        <v>200000</v>
      </c>
    </row>
    <row r="9">
      <c r="C9" s="263" t="inlineStr">
        <is>
          <t>Total</t>
        </is>
      </c>
      <c r="D9" s="264">
        <f>SUM(D4:D8)</f>
        <v/>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2016-09-30T18:26:40Z</dcterms:created>
  <dcterms:modified xsi:type="dcterms:W3CDTF">2025-07-11T22:15:26Z</dcterms:modified>
  <cp:lastModifiedBy>Aundre Oldacre</cp:lastModifiedBy>
  <cp:lastPrinted>2019-12-08T17:10:39Z</cp:lastPrinted>
</cp:coreProperties>
</file>

<file path=docProps/custom.xml><?xml version="1.0" encoding="utf-8"?>
<Properties xmlns:vt="http://schemas.openxmlformats.org/officeDocument/2006/docPropsVTypes" xmlns="http://schemas.openxmlformats.org/officeDocument/2006/custom-properties">
  <property name="{A44787D4-0540-4523-9961-78E4036D8C6D}" fmtid="{D5CDD505-2E9C-101B-9397-08002B2CF9AE}" pid="2">
    <vt:lpwstr>{67378734-348D-41B1-9F83-F27C274BF4FE}</vt:lpwstr>
  </property>
</Properties>
</file>